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EstaPasta_de_trabalho"/>
  <mc:AlternateContent xmlns:mc="http://schemas.openxmlformats.org/markup-compatibility/2006">
    <mc:Choice Requires="x15">
      <x15ac:absPath xmlns:x15ac="http://schemas.microsoft.com/office/spreadsheetml/2010/11/ac" url="D:\Users\PPO-USER\Documents\"/>
    </mc:Choice>
  </mc:AlternateContent>
  <xr:revisionPtr revIDLastSave="0" documentId="8_{1A3E5735-E391-4E14-9F2D-3868CDA53E9B}" xr6:coauthVersionLast="45" xr6:coauthVersionMax="45" xr10:uidLastSave="{00000000-0000-0000-0000-000000000000}"/>
  <workbookProtection workbookAlgorithmName="SHA-512" workbookHashValue="glTjAL8ra1cltHvnFKLru5cxhdXu1LOeKoyNVaWZVNHnBfDvapqSALhClj//HvqyNNksdPiOTw2MmX0euGyahw==" workbookSaltValue="1Yi7oLvWH62iRYcCol9z1g==" workbookSpinCount="100000" lockStructure="1"/>
  <bookViews>
    <workbookView xWindow="-120" yWindow="-120" windowWidth="24240" windowHeight="13140" activeTab="2" xr2:uid="{00000000-000D-0000-FFFF-FFFF00000000}"/>
  </bookViews>
  <sheets>
    <sheet name="DADOS" sheetId="16" r:id="rId1"/>
    <sheet name="BDI (1)" sheetId="17" state="hidden" r:id="rId2"/>
    <sheet name="PO" sheetId="12" r:id="rId3"/>
    <sheet name="PLQ" sheetId="13" state="hidden" r:id="rId4"/>
    <sheet name="CFF" sheetId="11" r:id="rId5"/>
  </sheets>
  <definedNames>
    <definedName name="_xlnm._FilterDatabase" localSheetId="4">CFF!#REF!</definedName>
    <definedName name="_xlnm._FilterDatabase" localSheetId="0">DADOS!#REF!</definedName>
    <definedName name="_xlnm._FilterDatabase" localSheetId="3">PLQ!$A$10:$O$13</definedName>
    <definedName name="_xlnm._FilterDatabase" localSheetId="2">PO!$C$10:$T$13</definedName>
    <definedName name="_xlnm.Print_Area" localSheetId="1">'BDI (1)'!$I$1:$R$50</definedName>
    <definedName name="_xlnm.Print_Area" localSheetId="4">CFF!$L$1:$AF$81</definedName>
    <definedName name="_xlnm.Print_Area" localSheetId="0">DADOS!$A$1:$X$87</definedName>
    <definedName name="_xlnm.Print_Area" localSheetId="3">PLQ!$B$1:$P$233</definedName>
    <definedName name="_xlnm.Print_Area" localSheetId="2">PO!$K$1:$T$242</definedName>
    <definedName name="_xlnm.Database">TEXT(Import.DataBase,"mm-aaaa")</definedName>
    <definedName name="CFF.ColunaPadrão">CFF!$AK:$AK</definedName>
    <definedName name="CFF.Colunas">CFF!$P$10:$AF$10</definedName>
    <definedName name="CFF.Dados">OFFSET(CFF!$L$17,1,0):OFFSET(CFF!$AF$75,-1,-1)</definedName>
    <definedName name="CFF.IncluirLinha">MAX(PO!$V$12:$V$227)*CFF.NumLinha-ROW(CFF!$F$75)+ROW(CFF!$F$17)+1</definedName>
    <definedName name="CFF.Item">OFFSET(CFF!$L$17,1,0):OFFSET(CFF!$AF$75,-1,-1)</definedName>
    <definedName name="CFF.LinhaPadrão">CFF!$A$11:$W$11</definedName>
    <definedName name="CFF.NumLinha">ROW(CFF!$D$14)-ROW(CFF!$D$10)-1</definedName>
    <definedName name="Código" localSheetId="2">PO!$M1</definedName>
    <definedName name="Composições.LinhaPadrão">#REF!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2">PO!$L1</definedName>
    <definedName name="Import.Ação">DADOS!$J$29</definedName>
    <definedName name="Import.Apelido">DADOS!$Q$32</definedName>
    <definedName name="Import.CNPJ">DADOS!$B$57</definedName>
    <definedName name="Import.Código">OFFSET(PO!$M$12,1,0):OFFSET(PO!$M$227,-1,0)</definedName>
    <definedName name="Import.CR">DADOS!$A$29</definedName>
    <definedName name="Import.CTEF">DADOS!$A$43</definedName>
    <definedName name="Import.CustoUnitário">OFFSET(PO!$Q$12,1,0):OFFSET(PO!$Q$227,-1,0)</definedName>
    <definedName name="Import.DadosBDI">DADOS!$S$108:$S$112</definedName>
    <definedName name="Import.DataAssinaturaCTEF">DADOS!$U$43</definedName>
    <definedName name="Import.DataBase">DADOS!$A$38</definedName>
    <definedName name="Import.DataBaseLicit">DADOS!$H$43</definedName>
    <definedName name="Import.DataCot">OFFSET(#REF!,1,0):OFFSET(#REF!,-1,0)</definedName>
    <definedName name="Import.DataCotIndice">OFFSET(#REF!,1,0):OFFSET(#REF!,-1,0)</definedName>
    <definedName name="Import.DataInícioObra">DADOS!$A$48</definedName>
    <definedName name="Import.DescComp">OFFSET(#REF!,1,0):OFFSET(#REF!,-1,0)</definedName>
    <definedName name="Import.DescCot">OFFSET(#REF!,1,0):OFFSET(#REF!,-1,0)</definedName>
    <definedName name="Import.DescLote">DADOS!$G$38</definedName>
    <definedName name="Import.Descrição">OFFSET(PO!$N$12,1,0):OFFSET(PO!$N$227,-1,0)</definedName>
    <definedName name="Import.Desoneracao">DADOS!$C$38</definedName>
    <definedName name="Import.DesoneracaoLicit">DADOS!$J$43</definedName>
    <definedName name="Import.Empresa">DADOS!$C$43</definedName>
    <definedName name="Import.FontComp">OFFSET(#REF!,1,0):OFFSET(#REF!,-1,0)</definedName>
    <definedName name="Import.Fonte">OFFSET(PO!$L$12,1,0):OFFSET(PO!$L$227,-1,0)</definedName>
    <definedName name="Import.FrenteDeObra">PLQ!$F$9:OFFSET(PLQ!$P$9,0,-1)</definedName>
    <definedName name="Import.Gestor">DADOS!$C$29</definedName>
    <definedName name="Import.IndiceAtual">OFFSET(#REF!,1,0):OFFSET(#REF!,-1,0)</definedName>
    <definedName name="Import.IndiceCot">OFFSET(#REF!,1,0):OFFSET(#REF!,-1,0)</definedName>
    <definedName name="Import.Item">OFFSET(PO!$K$12,1,0):OFFSET(PO!$K$227,-1,0)</definedName>
    <definedName name="Import.Localidade">DADOS!$K$32</definedName>
    <definedName name="Import.LocalSINAPI">DADOS!$D$38</definedName>
    <definedName name="Import.Município">DADOS!$G$32</definedName>
    <definedName name="Import.Nível">OFFSET(PO!$J$12,1,0):OFFSET(PO!$J$227,-1,0)</definedName>
    <definedName name="Import.NomeEmpresaForn">OFFSET(#REF!,1,0):OFFSET(#REF!,-1,0)</definedName>
    <definedName name="Import.ObjetoCR">DADOS!$P$29</definedName>
    <definedName name="Import.ObjetoCTEF">DADOS!$O$43</definedName>
    <definedName name="Import.ObsComp">OFFSET(#REF!,1,0):OFFSET(#REF!,-1,0)</definedName>
    <definedName name="Import.ObsCot">OFFSET(#REF!,1,0):OFFSET(#REF!,-1,0)</definedName>
    <definedName name="Import.ObsForn">OFFSET(#REF!,1,0):OFFSET(#REF!,-1,0)</definedName>
    <definedName name="Import.ObsIndice">OFFSET(#REF!,1,0):OFFSET(#REF!,-1,0)</definedName>
    <definedName name="Import.PLQ">OFFSET(PLQ!$F$12,1,0):OFFSET(PLQ!$P$227,-1,-1)</definedName>
    <definedName name="Import.POArred">PO!$X$3:$X$7</definedName>
    <definedName name="Import.PreçoTotal">OFFSET(PO!$T$12,1,0):OFFSET(PO!$T$227,-1,0)</definedName>
    <definedName name="Import.PreçoUnitário">OFFSET(PO!$S$12,1,0):OFFSET(PO!$S$227,-1,0)</definedName>
    <definedName name="Import.Programa">DADOS!$F$29</definedName>
    <definedName name="Import.Proponente">DADOS!$A$32</definedName>
    <definedName name="Import.Quantidade">OFFSET(PO!$P$12,1,0):OFFSET(PO!$P$227,-1,0)</definedName>
    <definedName name="Import.RegimeExecução">DADOS!$K$43</definedName>
    <definedName name="Import.TelefoneForn">OFFSET(#REF!,1,0):OFFSET(#REF!,-1,0)</definedName>
    <definedName name="Import.TipoComp">OFFSET(#REF!,1,0):OFFSET(#REF!,-1,0)</definedName>
    <definedName name="Import.TipoCot">OFFSET(#REF!,1,0):OFFSET(#REF!,-1,0)</definedName>
    <definedName name="Import.Unidade">OFFSET(PO!$O$12,1,0):OFFSET(PO!$O$227,-1,0)</definedName>
    <definedName name="Import.UnidadeComp">OFFSET(#REF!,1,0):OFFSET(#REF!,-1,0)</definedName>
    <definedName name="Import.UnidCot">OFFSET(#REF!,1,0):OFFSET(#REF!,-1,0)</definedName>
    <definedName name="Import.Valor1Indice">OFFSET(#REF!,1,0):OFFSET(#REF!,-1,0)</definedName>
    <definedName name="Import.Valor2Indice">OFFSET(#REF!,1,0):OFFSET(#REF!,-1,0)</definedName>
    <definedName name="Import.ValorBDI">OFFSET(PO!$Z$12,1,0):OFFSET(PO!$Z$227,-1,0)</definedName>
    <definedName name="Import.ValorCot">OFFSET(#REF!,1,0):OFFSET(#REF!,-1,0)</definedName>
    <definedName name="Import.Vigência">DADOS!$W$43</definedName>
    <definedName name="Índices.LinhaPadrão">#REF!</definedName>
    <definedName name="Linhacabeçalhodados">DADOS!$A$220:$X$220</definedName>
    <definedName name="LinhaEncargosSociais">PO!$K$228</definedName>
    <definedName name="linhaSINAPIxls" localSheetId="2">PO!$X1</definedName>
    <definedName name="ListaFornecedor">OFFSET(#REF!,0,0,MAX(#REF!)+1)</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PLQ!$B$9:OFFSET(PLQ!$B$227,-1,0)</definedName>
    <definedName name="PLQ.LinhaPadrão">PLQ!$A$11:$P$11</definedName>
    <definedName name="PLQ.qtde.frentes">COUNTA(PLQ!$F$9:$P$9)</definedName>
    <definedName name="PO.BDI">OFFSET(PO!$R$12,1,0):OFFSET(PO!$R$227,-1,0)</definedName>
    <definedName name="PO.CustoRef">OFFSET(PO!$Y$12,1,0):OFFSET(PO!$Y$227,-1,0)</definedName>
    <definedName name="PO.CustoUnitario">ROUND(PO!$Q1,15-13*PO!$X$4)</definedName>
    <definedName name="PO.Dados">PO!$C$12:OFFSET(PO!$Z$227,-1,0)</definedName>
    <definedName name="PO.FormulaQuant">PO!$P$9</definedName>
    <definedName name="PO.LinhaPadrão">PO!$C$11:$Z$11</definedName>
    <definedName name="PO.PrecoUnitario">ROUND(PO!$S1,15-13*PO!$X$6)</definedName>
    <definedName name="PO.Quantidade">ROUND(PO!$P1,15-13*PO!$X$3)</definedName>
    <definedName name="Referencia.Descricao">IF(ISNUMBER(PO!linhaSINAPIxls),INDEX(INDIRECT("'[Referência "&amp;_xlnm.Database&amp;".xls]Banco'!$b:$g"),PO!linhaSINAPIxls,3),"")</definedName>
    <definedName name="Referencia.Desonerado">IF(ISNUMBER(PO!linhaSINAPIxls),VALUE(INDEX(INDIRECT("'[Referência "&amp;_xlnm.Database&amp;".xls]Banco'!$b:$g"),PO!linhaSINAPIxls,5)),0)</definedName>
    <definedName name="Referencia.NaoDesonerado">IF(ISNUMBER(PO!linhaSINAPIxls),VALUE(INDEX(INDIRECT("'[Referência "&amp;_xlnm.Database&amp;".xls]Banco'!$b:$g"),PO!linhaSINAPIxls,6)),0)</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4">CFF!$L:$O,CFF!$10:$10</definedName>
    <definedName name="_xlnm.Print_Titles" localSheetId="3">PLQ!$B:$E,PLQ!$9:$10</definedName>
    <definedName name="_xlnm.Print_Titles" localSheetId="2">PO!$10:$10</definedName>
    <definedName name="Versao">DADOS!$A$2</definedName>
    <definedName name="VTOTAL1">ROUND(PO.Quantidade*PO.PrecoUnitario,15-13*PO!$X$7)</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6" i="13" l="1"/>
  <c r="A16" i="13"/>
  <c r="E16" i="13" s="1"/>
  <c r="F15" i="13"/>
  <c r="A15" i="13"/>
  <c r="F14" i="13"/>
  <c r="A14" i="13"/>
  <c r="E14" i="13" s="1"/>
  <c r="W16" i="12"/>
  <c r="V16" i="12"/>
  <c r="A16" i="12"/>
  <c r="W15" i="12"/>
  <c r="A15" i="12"/>
  <c r="X14" i="12"/>
  <c r="W14" i="12"/>
  <c r="A14" i="12"/>
  <c r="X15" i="12"/>
  <c r="X16" i="12"/>
  <c r="D16" i="13" l="1"/>
  <c r="C15" i="13"/>
  <c r="D15" i="13"/>
  <c r="D14" i="13"/>
  <c r="E15" i="13"/>
  <c r="I16" i="12"/>
  <c r="V15" i="12"/>
  <c r="H16" i="12"/>
  <c r="B15" i="12"/>
  <c r="H15" i="12"/>
  <c r="I15" i="12"/>
  <c r="B16" i="12"/>
  <c r="X2" i="11"/>
  <c r="C14" i="13" l="1"/>
  <c r="C16" i="13"/>
  <c r="F86" i="13"/>
  <c r="A86" i="13"/>
  <c r="X86" i="12"/>
  <c r="W86" i="12"/>
  <c r="A86" i="12"/>
  <c r="F84" i="13"/>
  <c r="F85" i="13"/>
  <c r="A85" i="13"/>
  <c r="A84" i="13"/>
  <c r="F83" i="13"/>
  <c r="A83" i="13"/>
  <c r="F82" i="13"/>
  <c r="A82" i="13"/>
  <c r="F81" i="13"/>
  <c r="A81" i="13"/>
  <c r="F80" i="13"/>
  <c r="A80" i="13"/>
  <c r="F79" i="13"/>
  <c r="A79" i="13"/>
  <c r="F78" i="13"/>
  <c r="A78" i="13"/>
  <c r="F77" i="13"/>
  <c r="A77" i="13"/>
  <c r="F76" i="13"/>
  <c r="A76" i="13"/>
  <c r="F75" i="13"/>
  <c r="A75" i="13"/>
  <c r="F74" i="13"/>
  <c r="A74" i="13"/>
  <c r="F73" i="13"/>
  <c r="A73" i="13"/>
  <c r="F72" i="13"/>
  <c r="A72" i="13"/>
  <c r="F71" i="13"/>
  <c r="A71" i="13"/>
  <c r="F70" i="13"/>
  <c r="A70" i="13"/>
  <c r="F69" i="13"/>
  <c r="A69" i="13"/>
  <c r="F68" i="13"/>
  <c r="A68" i="13"/>
  <c r="F67" i="13"/>
  <c r="A67" i="13"/>
  <c r="F66" i="13"/>
  <c r="A66" i="13"/>
  <c r="F65" i="13"/>
  <c r="A65" i="13"/>
  <c r="F64" i="13"/>
  <c r="A64" i="13"/>
  <c r="F63" i="13"/>
  <c r="A63" i="13"/>
  <c r="F62" i="13"/>
  <c r="A62" i="13"/>
  <c r="F61" i="13"/>
  <c r="A61" i="13"/>
  <c r="F60" i="13"/>
  <c r="A60" i="13"/>
  <c r="F59" i="13"/>
  <c r="A59" i="13"/>
  <c r="F58" i="13"/>
  <c r="A58" i="13"/>
  <c r="F57" i="13"/>
  <c r="A57" i="13"/>
  <c r="F56" i="13"/>
  <c r="A56" i="13"/>
  <c r="F55" i="13"/>
  <c r="A55" i="13"/>
  <c r="F54" i="13"/>
  <c r="A54" i="13"/>
  <c r="F53" i="13"/>
  <c r="A53" i="13"/>
  <c r="F52" i="13"/>
  <c r="A52" i="13"/>
  <c r="F51" i="13"/>
  <c r="A51" i="13"/>
  <c r="F50" i="13"/>
  <c r="A50" i="13"/>
  <c r="F49" i="13"/>
  <c r="A49" i="13"/>
  <c r="F48" i="13"/>
  <c r="A48" i="13"/>
  <c r="F47" i="13"/>
  <c r="A47" i="13"/>
  <c r="F46" i="13"/>
  <c r="A46" i="13"/>
  <c r="X85" i="12"/>
  <c r="W85" i="12"/>
  <c r="A85" i="12"/>
  <c r="W84" i="12"/>
  <c r="A84" i="12"/>
  <c r="W83" i="12"/>
  <c r="A83" i="12"/>
  <c r="I83" i="12" s="1"/>
  <c r="W82" i="12"/>
  <c r="A82" i="12"/>
  <c r="B82" i="12" s="1"/>
  <c r="W81" i="12"/>
  <c r="A81" i="12"/>
  <c r="H81" i="12" s="1"/>
  <c r="W80" i="12"/>
  <c r="A80" i="12"/>
  <c r="V80" i="12" s="1"/>
  <c r="X79" i="12"/>
  <c r="W79" i="12"/>
  <c r="A79" i="12"/>
  <c r="W78" i="12"/>
  <c r="A78" i="12"/>
  <c r="V78" i="12" s="1"/>
  <c r="W77" i="12"/>
  <c r="A77" i="12"/>
  <c r="X76" i="12"/>
  <c r="W76" i="12"/>
  <c r="A76" i="12"/>
  <c r="W75" i="12"/>
  <c r="A75" i="12"/>
  <c r="W74" i="12"/>
  <c r="A74" i="12"/>
  <c r="V74" i="12" s="1"/>
  <c r="W73" i="12"/>
  <c r="A73" i="12"/>
  <c r="I73" i="12" s="1"/>
  <c r="W72" i="12"/>
  <c r="A72" i="12"/>
  <c r="V72" i="12" s="1"/>
  <c r="W71" i="12"/>
  <c r="A71" i="12"/>
  <c r="I71" i="12" s="1"/>
  <c r="W70" i="12"/>
  <c r="A70" i="12"/>
  <c r="B70" i="12" s="1"/>
  <c r="W69" i="12"/>
  <c r="A69" i="12"/>
  <c r="V69" i="12" s="1"/>
  <c r="W68" i="12"/>
  <c r="A68" i="12"/>
  <c r="H68" i="12" s="1"/>
  <c r="W67" i="12"/>
  <c r="A67" i="12"/>
  <c r="I67" i="12" s="1"/>
  <c r="W66" i="12"/>
  <c r="A66" i="12"/>
  <c r="V66" i="12" s="1"/>
  <c r="X65" i="12"/>
  <c r="W65" i="12"/>
  <c r="A65" i="12"/>
  <c r="W64" i="12"/>
  <c r="A64" i="12"/>
  <c r="B64" i="12" s="1"/>
  <c r="W63" i="12"/>
  <c r="A63" i="12"/>
  <c r="I63" i="12" s="1"/>
  <c r="X62" i="12"/>
  <c r="W62" i="12"/>
  <c r="A62" i="12"/>
  <c r="X61" i="12"/>
  <c r="W61" i="12"/>
  <c r="A61" i="12"/>
  <c r="W60" i="12"/>
  <c r="A60" i="12"/>
  <c r="V60" i="12" s="1"/>
  <c r="W59" i="12"/>
  <c r="A59" i="12"/>
  <c r="V59" i="12" s="1"/>
  <c r="X58" i="12"/>
  <c r="W58" i="12"/>
  <c r="A58" i="12"/>
  <c r="W57" i="12"/>
  <c r="A57" i="12"/>
  <c r="V57" i="12" s="1"/>
  <c r="X56" i="12"/>
  <c r="W56" i="12"/>
  <c r="A56" i="12"/>
  <c r="V56" i="12" s="1"/>
  <c r="W55" i="12"/>
  <c r="A55" i="12"/>
  <c r="I55" i="12" s="1"/>
  <c r="X54" i="12"/>
  <c r="W54" i="12"/>
  <c r="A54" i="12"/>
  <c r="W53" i="12"/>
  <c r="A53" i="12"/>
  <c r="I53" i="12" s="1"/>
  <c r="W52" i="12"/>
  <c r="A52" i="12"/>
  <c r="I52" i="12" s="1"/>
  <c r="W51" i="12"/>
  <c r="A51" i="12"/>
  <c r="V51" i="12" s="1"/>
  <c r="X50" i="12"/>
  <c r="W50" i="12"/>
  <c r="A50" i="12"/>
  <c r="V50" i="12" s="1"/>
  <c r="W49" i="12"/>
  <c r="A49" i="12"/>
  <c r="V49" i="12" s="1"/>
  <c r="W48" i="12"/>
  <c r="A48" i="12"/>
  <c r="V48" i="12" s="1"/>
  <c r="W47" i="12"/>
  <c r="A47" i="12"/>
  <c r="V47" i="12" s="1"/>
  <c r="X46" i="12"/>
  <c r="W46" i="12"/>
  <c r="A46" i="12"/>
  <c r="V46" i="12" s="1"/>
  <c r="F226" i="13"/>
  <c r="A226" i="13"/>
  <c r="F225" i="13"/>
  <c r="A225" i="13"/>
  <c r="F224" i="13"/>
  <c r="A224" i="13"/>
  <c r="F223" i="13"/>
  <c r="A223" i="13"/>
  <c r="F222" i="13"/>
  <c r="A222" i="13"/>
  <c r="F221" i="13"/>
  <c r="A221" i="13"/>
  <c r="F220" i="13"/>
  <c r="A220" i="13"/>
  <c r="F219" i="13"/>
  <c r="A219" i="13"/>
  <c r="F218" i="13"/>
  <c r="A218" i="13"/>
  <c r="F217" i="13"/>
  <c r="A217" i="13"/>
  <c r="F216" i="13"/>
  <c r="A216" i="13"/>
  <c r="F215" i="13"/>
  <c r="A215" i="13"/>
  <c r="F214" i="13"/>
  <c r="A214" i="13"/>
  <c r="F213" i="13"/>
  <c r="A213" i="13"/>
  <c r="F212" i="13"/>
  <c r="A212" i="13"/>
  <c r="F211" i="13"/>
  <c r="A211" i="13"/>
  <c r="F210" i="13"/>
  <c r="A210" i="13"/>
  <c r="F209" i="13"/>
  <c r="A209" i="13"/>
  <c r="F208" i="13"/>
  <c r="A208" i="13"/>
  <c r="F207" i="13"/>
  <c r="A207" i="13"/>
  <c r="F206" i="13"/>
  <c r="A206" i="13"/>
  <c r="F205" i="13"/>
  <c r="A205" i="13"/>
  <c r="F204" i="13"/>
  <c r="A204" i="13"/>
  <c r="F203" i="13"/>
  <c r="A203" i="13"/>
  <c r="F202" i="13"/>
  <c r="A202" i="13"/>
  <c r="F201" i="13"/>
  <c r="A201" i="13"/>
  <c r="F200" i="13"/>
  <c r="A200" i="13"/>
  <c r="F199" i="13"/>
  <c r="A199" i="13"/>
  <c r="F198" i="13"/>
  <c r="A198" i="13"/>
  <c r="F197" i="13"/>
  <c r="A197" i="13"/>
  <c r="F196" i="13"/>
  <c r="A196" i="13"/>
  <c r="F195" i="13"/>
  <c r="A195" i="13"/>
  <c r="F194" i="13"/>
  <c r="A194" i="13"/>
  <c r="F193" i="13"/>
  <c r="A193" i="13"/>
  <c r="F192" i="13"/>
  <c r="A192" i="13"/>
  <c r="F191" i="13"/>
  <c r="A191" i="13"/>
  <c r="F190" i="13"/>
  <c r="A190" i="13"/>
  <c r="F189" i="13"/>
  <c r="A189" i="13"/>
  <c r="F188" i="13"/>
  <c r="A188" i="13"/>
  <c r="F187" i="13"/>
  <c r="A187" i="13"/>
  <c r="F186" i="13"/>
  <c r="A186" i="13"/>
  <c r="F185" i="13"/>
  <c r="A185" i="13"/>
  <c r="F184" i="13"/>
  <c r="A184" i="13"/>
  <c r="F183" i="13"/>
  <c r="A183" i="13"/>
  <c r="F182" i="13"/>
  <c r="A182" i="13"/>
  <c r="F181" i="13"/>
  <c r="A181" i="13"/>
  <c r="F180" i="13"/>
  <c r="A180" i="13"/>
  <c r="F179" i="13"/>
  <c r="A179" i="13"/>
  <c r="F178" i="13"/>
  <c r="A178" i="13"/>
  <c r="F177" i="13"/>
  <c r="A177" i="13"/>
  <c r="F176" i="13"/>
  <c r="A176" i="13"/>
  <c r="F175" i="13"/>
  <c r="A175" i="13"/>
  <c r="F174" i="13"/>
  <c r="A174" i="13"/>
  <c r="F173" i="13"/>
  <c r="A173" i="13"/>
  <c r="F172" i="13"/>
  <c r="A172" i="13"/>
  <c r="F171" i="13"/>
  <c r="A171" i="13"/>
  <c r="F170" i="13"/>
  <c r="A170" i="13"/>
  <c r="F169" i="13"/>
  <c r="A169" i="13"/>
  <c r="F168" i="13"/>
  <c r="A168" i="13"/>
  <c r="F167" i="13"/>
  <c r="A167" i="13"/>
  <c r="F166" i="13"/>
  <c r="A166" i="13"/>
  <c r="F165" i="13"/>
  <c r="A165" i="13"/>
  <c r="F164" i="13"/>
  <c r="A164" i="13"/>
  <c r="F163" i="13"/>
  <c r="A163" i="13"/>
  <c r="F162" i="13"/>
  <c r="A162" i="13"/>
  <c r="F161" i="13"/>
  <c r="A161" i="13"/>
  <c r="F160" i="13"/>
  <c r="A160" i="13"/>
  <c r="F159" i="13"/>
  <c r="A159" i="13"/>
  <c r="F158" i="13"/>
  <c r="A158" i="13"/>
  <c r="F157" i="13"/>
  <c r="A157" i="13"/>
  <c r="F156" i="13"/>
  <c r="A156" i="13"/>
  <c r="F155" i="13"/>
  <c r="A155" i="13"/>
  <c r="F154" i="13"/>
  <c r="A154" i="13"/>
  <c r="F153" i="13"/>
  <c r="A153" i="13"/>
  <c r="F152" i="13"/>
  <c r="A152" i="13"/>
  <c r="F151" i="13"/>
  <c r="A151" i="13"/>
  <c r="F150" i="13"/>
  <c r="A150" i="13"/>
  <c r="F149" i="13"/>
  <c r="A149" i="13"/>
  <c r="F148" i="13"/>
  <c r="A148" i="13"/>
  <c r="F147" i="13"/>
  <c r="A147" i="13"/>
  <c r="F146" i="13"/>
  <c r="A146" i="13"/>
  <c r="F145" i="13"/>
  <c r="A145" i="13"/>
  <c r="F144" i="13"/>
  <c r="A144" i="13"/>
  <c r="F143" i="13"/>
  <c r="A143" i="13"/>
  <c r="F142" i="13"/>
  <c r="A142" i="13"/>
  <c r="F141" i="13"/>
  <c r="A141" i="13"/>
  <c r="F140" i="13"/>
  <c r="A140" i="13"/>
  <c r="F139" i="13"/>
  <c r="A139" i="13"/>
  <c r="F138" i="13"/>
  <c r="A138" i="13"/>
  <c r="F137" i="13"/>
  <c r="A137" i="13"/>
  <c r="F136" i="13"/>
  <c r="A136" i="13"/>
  <c r="F135" i="13"/>
  <c r="A135" i="13"/>
  <c r="F134" i="13"/>
  <c r="A134" i="13"/>
  <c r="F133" i="13"/>
  <c r="A133" i="13"/>
  <c r="F132" i="13"/>
  <c r="A132" i="13"/>
  <c r="F131" i="13"/>
  <c r="A131" i="13"/>
  <c r="F130" i="13"/>
  <c r="A130" i="13"/>
  <c r="F129" i="13"/>
  <c r="A129" i="13"/>
  <c r="F128" i="13"/>
  <c r="A128" i="13"/>
  <c r="F127" i="13"/>
  <c r="A127" i="13"/>
  <c r="F126" i="13"/>
  <c r="A126" i="13"/>
  <c r="F125" i="13"/>
  <c r="A125" i="13"/>
  <c r="F124" i="13"/>
  <c r="A124" i="13"/>
  <c r="F123" i="13"/>
  <c r="A123" i="13"/>
  <c r="F122" i="13"/>
  <c r="A122" i="13"/>
  <c r="F121" i="13"/>
  <c r="A121" i="13"/>
  <c r="F120" i="13"/>
  <c r="A120" i="13"/>
  <c r="F119" i="13"/>
  <c r="A119" i="13"/>
  <c r="F118" i="13"/>
  <c r="A118" i="13"/>
  <c r="F117" i="13"/>
  <c r="A117" i="13"/>
  <c r="F116" i="13"/>
  <c r="A116" i="13"/>
  <c r="F115" i="13"/>
  <c r="A115" i="13"/>
  <c r="F114" i="13"/>
  <c r="A114" i="13"/>
  <c r="F113" i="13"/>
  <c r="A113" i="13"/>
  <c r="F112" i="13"/>
  <c r="A112" i="13"/>
  <c r="F111" i="13"/>
  <c r="A111" i="13"/>
  <c r="F110" i="13"/>
  <c r="A110" i="13"/>
  <c r="F109" i="13"/>
  <c r="A109" i="13"/>
  <c r="F108" i="13"/>
  <c r="A108" i="13"/>
  <c r="F107" i="13"/>
  <c r="A107" i="13"/>
  <c r="F106" i="13"/>
  <c r="A106" i="13"/>
  <c r="F105" i="13"/>
  <c r="A105" i="13"/>
  <c r="F104" i="13"/>
  <c r="A104" i="13"/>
  <c r="F103" i="13"/>
  <c r="A103" i="13"/>
  <c r="F102" i="13"/>
  <c r="A102" i="13"/>
  <c r="F101" i="13"/>
  <c r="A101" i="13"/>
  <c r="F100" i="13"/>
  <c r="A100" i="13"/>
  <c r="F99" i="13"/>
  <c r="A99" i="13"/>
  <c r="F98" i="13"/>
  <c r="A98" i="13"/>
  <c r="F97" i="13"/>
  <c r="A97" i="13"/>
  <c r="F96" i="13"/>
  <c r="A96" i="13"/>
  <c r="F95" i="13"/>
  <c r="A95" i="13"/>
  <c r="F94" i="13"/>
  <c r="A94" i="13"/>
  <c r="F93" i="13"/>
  <c r="A93" i="13"/>
  <c r="F92" i="13"/>
  <c r="A92" i="13"/>
  <c r="F91" i="13"/>
  <c r="A91" i="13"/>
  <c r="F90" i="13"/>
  <c r="A90" i="13"/>
  <c r="F89" i="13"/>
  <c r="A89" i="13"/>
  <c r="F88" i="13"/>
  <c r="A88" i="13"/>
  <c r="F87" i="13"/>
  <c r="A87" i="13"/>
  <c r="F45" i="13"/>
  <c r="A45" i="13"/>
  <c r="F44" i="13"/>
  <c r="A44" i="13"/>
  <c r="F43" i="13"/>
  <c r="A43" i="13"/>
  <c r="F42" i="13"/>
  <c r="A42" i="13"/>
  <c r="F41" i="13"/>
  <c r="A41" i="13"/>
  <c r="F40" i="13"/>
  <c r="A40" i="13"/>
  <c r="F39" i="13"/>
  <c r="A39" i="13"/>
  <c r="F38" i="13"/>
  <c r="A38" i="13"/>
  <c r="F37" i="13"/>
  <c r="A37" i="13"/>
  <c r="F36" i="13"/>
  <c r="A36" i="13"/>
  <c r="F35" i="13"/>
  <c r="A35" i="13"/>
  <c r="F34" i="13"/>
  <c r="A34" i="13"/>
  <c r="W226" i="12"/>
  <c r="A226" i="12"/>
  <c r="V226" i="12" s="1"/>
  <c r="X225" i="12"/>
  <c r="W225" i="12"/>
  <c r="A225" i="12"/>
  <c r="W224" i="12"/>
  <c r="A224" i="12"/>
  <c r="I224" i="12" s="1"/>
  <c r="W223" i="12"/>
  <c r="A223" i="12"/>
  <c r="H223" i="12" s="1"/>
  <c r="W222" i="12"/>
  <c r="A222" i="12"/>
  <c r="V222" i="12" s="1"/>
  <c r="W221" i="12"/>
  <c r="A221" i="12"/>
  <c r="H221" i="12" s="1"/>
  <c r="W220" i="12"/>
  <c r="A220" i="12"/>
  <c r="B220" i="12" s="1"/>
  <c r="X219" i="12"/>
  <c r="W219" i="12"/>
  <c r="A219" i="12"/>
  <c r="W218" i="12"/>
  <c r="A218" i="12"/>
  <c r="V218" i="12" s="1"/>
  <c r="W217" i="12"/>
  <c r="A217" i="12"/>
  <c r="I217" i="12" s="1"/>
  <c r="W216" i="12"/>
  <c r="A216" i="12"/>
  <c r="I216" i="12" s="1"/>
  <c r="W215" i="12"/>
  <c r="A215" i="12"/>
  <c r="H215" i="12" s="1"/>
  <c r="W214" i="12"/>
  <c r="A214" i="12"/>
  <c r="X213" i="12"/>
  <c r="W213" i="12"/>
  <c r="A213" i="12"/>
  <c r="X212" i="12"/>
  <c r="W212" i="12"/>
  <c r="A212" i="12"/>
  <c r="W211" i="12"/>
  <c r="A211" i="12"/>
  <c r="H211" i="12" s="1"/>
  <c r="W210" i="12"/>
  <c r="A210" i="12"/>
  <c r="B210" i="12" s="1"/>
  <c r="W209" i="12"/>
  <c r="A209" i="12"/>
  <c r="V209" i="12" s="1"/>
  <c r="W208" i="12"/>
  <c r="A208" i="12"/>
  <c r="W207" i="12"/>
  <c r="A207" i="12"/>
  <c r="H207" i="12" s="1"/>
  <c r="W206" i="12"/>
  <c r="A206" i="12"/>
  <c r="W205" i="12"/>
  <c r="A205" i="12"/>
  <c r="V205" i="12" s="1"/>
  <c r="W204" i="12"/>
  <c r="A204" i="12"/>
  <c r="H204" i="12" s="1"/>
  <c r="X203" i="12"/>
  <c r="W203" i="12"/>
  <c r="A203" i="12"/>
  <c r="W202" i="12"/>
  <c r="A202" i="12"/>
  <c r="W201" i="12"/>
  <c r="A201" i="12"/>
  <c r="W200" i="12"/>
  <c r="A200" i="12"/>
  <c r="I200" i="12" s="1"/>
  <c r="W199" i="12"/>
  <c r="A199" i="12"/>
  <c r="I199" i="12" s="1"/>
  <c r="W198" i="12"/>
  <c r="A198" i="12"/>
  <c r="W197" i="12"/>
  <c r="A197" i="12"/>
  <c r="H197" i="12" s="1"/>
  <c r="W196" i="12"/>
  <c r="A196" i="12"/>
  <c r="V196" i="12" s="1"/>
  <c r="W195" i="12"/>
  <c r="A195" i="12"/>
  <c r="I195" i="12" s="1"/>
  <c r="W194" i="12"/>
  <c r="A194" i="12"/>
  <c r="I194" i="12" s="1"/>
  <c r="W193" i="12"/>
  <c r="A193" i="12"/>
  <c r="W192" i="12"/>
  <c r="A192" i="12"/>
  <c r="X191" i="12"/>
  <c r="W191" i="12"/>
  <c r="A191" i="12"/>
  <c r="W190" i="12"/>
  <c r="A190" i="12"/>
  <c r="V190" i="12" s="1"/>
  <c r="W189" i="12"/>
  <c r="A189" i="12"/>
  <c r="W188" i="12"/>
  <c r="A188" i="12"/>
  <c r="V188" i="12" s="1"/>
  <c r="W187" i="12"/>
  <c r="A187" i="12"/>
  <c r="I187" i="12" s="1"/>
  <c r="W186" i="12"/>
  <c r="A186" i="12"/>
  <c r="V186" i="12" s="1"/>
  <c r="W185" i="12"/>
  <c r="A185" i="12"/>
  <c r="V185" i="12" s="1"/>
  <c r="W184" i="12"/>
  <c r="A184" i="12"/>
  <c r="V184" i="12" s="1"/>
  <c r="W183" i="12"/>
  <c r="A183" i="12"/>
  <c r="V183" i="12" s="1"/>
  <c r="W182" i="12"/>
  <c r="A182" i="12"/>
  <c r="V182" i="12" s="1"/>
  <c r="W181" i="12"/>
  <c r="A181" i="12"/>
  <c r="I181" i="12" s="1"/>
  <c r="W180" i="12"/>
  <c r="A180" i="12"/>
  <c r="V180" i="12" s="1"/>
  <c r="W179" i="12"/>
  <c r="A179" i="12"/>
  <c r="V179" i="12" s="1"/>
  <c r="X178" i="12"/>
  <c r="W178" i="12"/>
  <c r="A178" i="12"/>
  <c r="V178" i="12" s="1"/>
  <c r="X177" i="12"/>
  <c r="W177" i="12"/>
  <c r="A177" i="12"/>
  <c r="V177" i="12" s="1"/>
  <c r="W176" i="12"/>
  <c r="A176" i="12"/>
  <c r="I176" i="12" s="1"/>
  <c r="W175" i="12"/>
  <c r="A175" i="12"/>
  <c r="V175" i="12" s="1"/>
  <c r="W174" i="12"/>
  <c r="A174" i="12"/>
  <c r="V174" i="12" s="1"/>
  <c r="W173" i="12"/>
  <c r="A173" i="12"/>
  <c r="V173" i="12" s="1"/>
  <c r="W172" i="12"/>
  <c r="A172" i="12"/>
  <c r="V172" i="12" s="1"/>
  <c r="W171" i="12"/>
  <c r="A171" i="12"/>
  <c r="W170" i="12"/>
  <c r="A170" i="12"/>
  <c r="V170" i="12" s="1"/>
  <c r="W169" i="12"/>
  <c r="A169" i="12"/>
  <c r="V169" i="12" s="1"/>
  <c r="W168" i="12"/>
  <c r="A168" i="12"/>
  <c r="V168" i="12" s="1"/>
  <c r="W167" i="12"/>
  <c r="A167" i="12"/>
  <c r="W166" i="12"/>
  <c r="A166" i="12"/>
  <c r="H166" i="12" s="1"/>
  <c r="W165" i="12"/>
  <c r="A165" i="12"/>
  <c r="V165" i="12" s="1"/>
  <c r="X164" i="12"/>
  <c r="W164" i="12"/>
  <c r="A164" i="12"/>
  <c r="X163" i="12"/>
  <c r="W163" i="12"/>
  <c r="A163" i="12"/>
  <c r="W162" i="12"/>
  <c r="A162" i="12"/>
  <c r="W161" i="12"/>
  <c r="A161" i="12"/>
  <c r="H161" i="12" s="1"/>
  <c r="W160" i="12"/>
  <c r="A160" i="12"/>
  <c r="W159" i="12"/>
  <c r="A159" i="12"/>
  <c r="I159" i="12" s="1"/>
  <c r="W158" i="12"/>
  <c r="A158" i="12"/>
  <c r="W157" i="12"/>
  <c r="A157" i="12"/>
  <c r="V157" i="12" s="1"/>
  <c r="W156" i="12"/>
  <c r="A156" i="12"/>
  <c r="H156" i="12" s="1"/>
  <c r="W155" i="12"/>
  <c r="A155" i="12"/>
  <c r="V155" i="12" s="1"/>
  <c r="W154" i="12"/>
  <c r="A154" i="12"/>
  <c r="V154" i="12" s="1"/>
  <c r="X153" i="12"/>
  <c r="W153" i="12"/>
  <c r="A153" i="12"/>
  <c r="W152" i="12"/>
  <c r="A152" i="12"/>
  <c r="W151" i="12"/>
  <c r="A151" i="12"/>
  <c r="V151" i="12" s="1"/>
  <c r="W150" i="12"/>
  <c r="A150" i="12"/>
  <c r="I150" i="12" s="1"/>
  <c r="W149" i="12"/>
  <c r="A149" i="12"/>
  <c r="V149" i="12" s="1"/>
  <c r="X148" i="12"/>
  <c r="W148" i="12"/>
  <c r="A148" i="12"/>
  <c r="W147" i="12"/>
  <c r="A147" i="12"/>
  <c r="W146" i="12"/>
  <c r="A146" i="12"/>
  <c r="V146" i="12" s="1"/>
  <c r="W145" i="12"/>
  <c r="A145" i="12"/>
  <c r="V145" i="12" s="1"/>
  <c r="W144" i="12"/>
  <c r="A144" i="12"/>
  <c r="I144" i="12" s="1"/>
  <c r="W143" i="12"/>
  <c r="A143" i="12"/>
  <c r="V143" i="12" s="1"/>
  <c r="X142" i="12"/>
  <c r="W142" i="12"/>
  <c r="A142" i="12"/>
  <c r="W141" i="12"/>
  <c r="A141" i="12"/>
  <c r="I141" i="12" s="1"/>
  <c r="W140" i="12"/>
  <c r="A140" i="12"/>
  <c r="H140" i="12" s="1"/>
  <c r="W139" i="12"/>
  <c r="A139" i="12"/>
  <c r="I139" i="12" s="1"/>
  <c r="W138" i="12"/>
  <c r="A138" i="12"/>
  <c r="I138" i="12" s="1"/>
  <c r="W137" i="12"/>
  <c r="A137" i="12"/>
  <c r="I137" i="12" s="1"/>
  <c r="W136" i="12"/>
  <c r="A136" i="12"/>
  <c r="V136" i="12" s="1"/>
  <c r="W135" i="12"/>
  <c r="A135" i="12"/>
  <c r="I135" i="12" s="1"/>
  <c r="W134" i="12"/>
  <c r="A134" i="12"/>
  <c r="I134" i="12" s="1"/>
  <c r="W133" i="12"/>
  <c r="A133" i="12"/>
  <c r="H133" i="12" s="1"/>
  <c r="W132" i="12"/>
  <c r="A132" i="12"/>
  <c r="H132" i="12" s="1"/>
  <c r="W131" i="12"/>
  <c r="A131" i="12"/>
  <c r="I131" i="12" s="1"/>
  <c r="W130" i="12"/>
  <c r="A130" i="12"/>
  <c r="V130" i="12" s="1"/>
  <c r="W129" i="12"/>
  <c r="A129" i="12"/>
  <c r="I129" i="12" s="1"/>
  <c r="W128" i="12"/>
  <c r="A128" i="12"/>
  <c r="I128" i="12" s="1"/>
  <c r="W127" i="12"/>
  <c r="A127" i="12"/>
  <c r="I127" i="12" s="1"/>
  <c r="W126" i="12"/>
  <c r="A126" i="12"/>
  <c r="V126" i="12" s="1"/>
  <c r="X125" i="12"/>
  <c r="W125" i="12"/>
  <c r="A125" i="12"/>
  <c r="W124" i="12"/>
  <c r="A124" i="12"/>
  <c r="I124" i="12" s="1"/>
  <c r="W123" i="12"/>
  <c r="A123" i="12"/>
  <c r="V123" i="12" s="1"/>
  <c r="W122" i="12"/>
  <c r="A122" i="12"/>
  <c r="B122" i="12" s="1"/>
  <c r="W121" i="12"/>
  <c r="A121" i="12"/>
  <c r="I121" i="12" s="1"/>
  <c r="W120" i="12"/>
  <c r="A120" i="12"/>
  <c r="H120" i="12" s="1"/>
  <c r="X119" i="12"/>
  <c r="W119" i="12"/>
  <c r="A119" i="12"/>
  <c r="V119" i="12" s="1"/>
  <c r="W118" i="12"/>
  <c r="A118" i="12"/>
  <c r="H118" i="12" s="1"/>
  <c r="W117" i="12"/>
  <c r="A117" i="12"/>
  <c r="V117" i="12" s="1"/>
  <c r="W116" i="12"/>
  <c r="A116" i="12"/>
  <c r="I116" i="12" s="1"/>
  <c r="W115" i="12"/>
  <c r="A115" i="12"/>
  <c r="V115" i="12" s="1"/>
  <c r="W114" i="12"/>
  <c r="A114" i="12"/>
  <c r="V114" i="12" s="1"/>
  <c r="W113" i="12"/>
  <c r="A113" i="12"/>
  <c r="B113" i="12" s="1"/>
  <c r="W112" i="12"/>
  <c r="A112" i="12"/>
  <c r="H112" i="12" s="1"/>
  <c r="W111" i="12"/>
  <c r="A111" i="12"/>
  <c r="H111" i="12" s="1"/>
  <c r="X110" i="12"/>
  <c r="W110" i="12"/>
  <c r="A110" i="12"/>
  <c r="X109" i="12"/>
  <c r="W109" i="12"/>
  <c r="A109" i="12"/>
  <c r="W108" i="12"/>
  <c r="A108" i="12"/>
  <c r="H108" i="12" s="1"/>
  <c r="W107" i="12"/>
  <c r="A107" i="12"/>
  <c r="W106" i="12"/>
  <c r="A106" i="12"/>
  <c r="W105" i="12"/>
  <c r="A105" i="12"/>
  <c r="H105" i="12" s="1"/>
  <c r="W104" i="12"/>
  <c r="A104" i="12"/>
  <c r="H104" i="12" s="1"/>
  <c r="W103" i="12"/>
  <c r="A103" i="12"/>
  <c r="H103" i="12" s="1"/>
  <c r="W102" i="12"/>
  <c r="A102" i="12"/>
  <c r="X101" i="12"/>
  <c r="W101" i="12"/>
  <c r="A101" i="12"/>
  <c r="W100" i="12"/>
  <c r="A100" i="12"/>
  <c r="V100" i="12" s="1"/>
  <c r="W99" i="12"/>
  <c r="A99" i="12"/>
  <c r="I99" i="12" s="1"/>
  <c r="W98" i="12"/>
  <c r="A98" i="12"/>
  <c r="V98" i="12" s="1"/>
  <c r="W97" i="12"/>
  <c r="A97" i="12"/>
  <c r="X96" i="12"/>
  <c r="W96" i="12"/>
  <c r="A96" i="12"/>
  <c r="W95" i="12"/>
  <c r="A95" i="12"/>
  <c r="V95" i="12" s="1"/>
  <c r="W94" i="12"/>
  <c r="A94" i="12"/>
  <c r="W93" i="12"/>
  <c r="A93" i="12"/>
  <c r="H93" i="12" s="1"/>
  <c r="X92" i="12"/>
  <c r="W92" i="12"/>
  <c r="A92" i="12"/>
  <c r="W91" i="12"/>
  <c r="A91" i="12"/>
  <c r="W90" i="12"/>
  <c r="A90" i="12"/>
  <c r="W89" i="12"/>
  <c r="A89" i="12"/>
  <c r="V89" i="12" s="1"/>
  <c r="W88" i="12"/>
  <c r="A88" i="12"/>
  <c r="W87" i="12"/>
  <c r="A87" i="12"/>
  <c r="I87" i="12" s="1"/>
  <c r="X45" i="12"/>
  <c r="W45" i="12"/>
  <c r="A45" i="12"/>
  <c r="W44" i="12"/>
  <c r="A44" i="12"/>
  <c r="W43" i="12"/>
  <c r="A43" i="12"/>
  <c r="I43" i="12" s="1"/>
  <c r="W42" i="12"/>
  <c r="A42" i="12"/>
  <c r="I42" i="12" s="1"/>
  <c r="W41" i="12"/>
  <c r="A41" i="12"/>
  <c r="X40" i="12"/>
  <c r="W40" i="12"/>
  <c r="A40" i="12"/>
  <c r="W39" i="12"/>
  <c r="A39" i="12"/>
  <c r="H39" i="12" s="1"/>
  <c r="W38" i="12"/>
  <c r="A38" i="12"/>
  <c r="W37" i="12"/>
  <c r="A37" i="12"/>
  <c r="I37" i="12" s="1"/>
  <c r="X36" i="12"/>
  <c r="W36" i="12"/>
  <c r="A36" i="12"/>
  <c r="V36" i="12" s="1"/>
  <c r="W35" i="12"/>
  <c r="A35" i="12"/>
  <c r="V35" i="12" s="1"/>
  <c r="W34" i="12"/>
  <c r="A34" i="12"/>
  <c r="V34" i="12" s="1"/>
  <c r="X158" i="12"/>
  <c r="X152" i="12"/>
  <c r="X99" i="12"/>
  <c r="X183" i="12"/>
  <c r="X98" i="12"/>
  <c r="X93" i="12"/>
  <c r="X57" i="12"/>
  <c r="X205" i="12"/>
  <c r="X144" i="12"/>
  <c r="X127" i="12"/>
  <c r="X174" i="12"/>
  <c r="X173" i="12"/>
  <c r="X156" i="12"/>
  <c r="X159" i="12"/>
  <c r="X37" i="12"/>
  <c r="X89" i="12"/>
  <c r="X135" i="12"/>
  <c r="X67" i="12"/>
  <c r="X44" i="12"/>
  <c r="X75" i="12"/>
  <c r="X106" i="12"/>
  <c r="X192" i="12"/>
  <c r="X172" i="12"/>
  <c r="X39" i="12"/>
  <c r="X103" i="12"/>
  <c r="X105" i="12"/>
  <c r="X118" i="12"/>
  <c r="X150" i="12"/>
  <c r="X201" i="12"/>
  <c r="X165" i="12"/>
  <c r="X185" i="12"/>
  <c r="X73" i="12"/>
  <c r="X217" i="12"/>
  <c r="X137" i="12"/>
  <c r="X74" i="12"/>
  <c r="X111" i="12"/>
  <c r="X102" i="12"/>
  <c r="X138" i="12"/>
  <c r="X210" i="12"/>
  <c r="X64" i="12"/>
  <c r="X126" i="12"/>
  <c r="X207" i="12"/>
  <c r="X146" i="12"/>
  <c r="X108" i="12"/>
  <c r="X155" i="12"/>
  <c r="X35" i="12"/>
  <c r="X123" i="12"/>
  <c r="X168" i="12"/>
  <c r="X55" i="12"/>
  <c r="X60" i="12"/>
  <c r="X69" i="12"/>
  <c r="X149" i="12"/>
  <c r="X113" i="12"/>
  <c r="X181" i="12"/>
  <c r="X179" i="12"/>
  <c r="X120" i="12"/>
  <c r="X200" i="12"/>
  <c r="X186" i="12"/>
  <c r="X145" i="12"/>
  <c r="X209" i="12"/>
  <c r="X202" i="12"/>
  <c r="X71" i="12"/>
  <c r="X151" i="12"/>
  <c r="X59" i="12"/>
  <c r="X157" i="12"/>
  <c r="X223" i="12"/>
  <c r="X206" i="12"/>
  <c r="X133" i="12"/>
  <c r="X42" i="12"/>
  <c r="X84" i="12"/>
  <c r="X82" i="12"/>
  <c r="X43" i="12"/>
  <c r="X131" i="12"/>
  <c r="X132" i="12"/>
  <c r="X182" i="12"/>
  <c r="X214" i="12"/>
  <c r="X216" i="12"/>
  <c r="X49" i="12"/>
  <c r="X53" i="12"/>
  <c r="X189" i="12"/>
  <c r="X124" i="12"/>
  <c r="X136" i="12"/>
  <c r="X221" i="12"/>
  <c r="X129" i="12"/>
  <c r="X193" i="12"/>
  <c r="X220" i="12"/>
  <c r="X180" i="12"/>
  <c r="X161" i="12"/>
  <c r="X190" i="12"/>
  <c r="X134" i="12"/>
  <c r="X48" i="12"/>
  <c r="X87" i="12"/>
  <c r="X175" i="12"/>
  <c r="X130" i="12"/>
  <c r="X222" i="12"/>
  <c r="X107" i="12"/>
  <c r="X170" i="12"/>
  <c r="X139" i="12"/>
  <c r="X83" i="12"/>
  <c r="X122" i="12"/>
  <c r="X112" i="12"/>
  <c r="X218" i="12"/>
  <c r="X68" i="12"/>
  <c r="X72" i="12"/>
  <c r="X188" i="12"/>
  <c r="X116" i="12"/>
  <c r="X115" i="12"/>
  <c r="X196" i="12"/>
  <c r="X187" i="12"/>
  <c r="X226" i="12"/>
  <c r="X66" i="12"/>
  <c r="X51" i="12"/>
  <c r="X211" i="12"/>
  <c r="X88" i="12"/>
  <c r="X194" i="12"/>
  <c r="X38" i="12"/>
  <c r="X141" i="12"/>
  <c r="X41" i="12"/>
  <c r="X90" i="12"/>
  <c r="X195" i="12"/>
  <c r="X81" i="12"/>
  <c r="X80" i="12"/>
  <c r="X184" i="12"/>
  <c r="X197" i="12"/>
  <c r="X117" i="12"/>
  <c r="X128" i="12"/>
  <c r="X176" i="12"/>
  <c r="X160" i="12"/>
  <c r="X100" i="12"/>
  <c r="X104" i="12"/>
  <c r="X52" i="12"/>
  <c r="X114" i="12"/>
  <c r="X166" i="12"/>
  <c r="X208" i="12"/>
  <c r="X204" i="12"/>
  <c r="X162" i="12"/>
  <c r="X70" i="12"/>
  <c r="X34" i="12"/>
  <c r="X95" i="12"/>
  <c r="X63" i="12"/>
  <c r="X224" i="12"/>
  <c r="X94" i="12"/>
  <c r="X140" i="12"/>
  <c r="X215" i="12"/>
  <c r="X167" i="12"/>
  <c r="X143" i="12"/>
  <c r="X97" i="12"/>
  <c r="X199" i="12"/>
  <c r="X47" i="12"/>
  <c r="X121" i="12"/>
  <c r="X78" i="12"/>
  <c r="X77" i="12"/>
  <c r="X147" i="12"/>
  <c r="X171" i="12"/>
  <c r="X91" i="12"/>
  <c r="X169" i="12"/>
  <c r="X198" i="12"/>
  <c r="X154" i="12"/>
  <c r="D217" i="13" l="1"/>
  <c r="C216" i="13"/>
  <c r="D219" i="13"/>
  <c r="D215" i="13"/>
  <c r="D223" i="13"/>
  <c r="D226" i="13"/>
  <c r="D214" i="13"/>
  <c r="D213" i="13"/>
  <c r="D218" i="13"/>
  <c r="D205" i="13"/>
  <c r="D208" i="13"/>
  <c r="D210" i="13"/>
  <c r="D204" i="13"/>
  <c r="D160" i="13"/>
  <c r="D189" i="13"/>
  <c r="D202" i="13"/>
  <c r="D201" i="13"/>
  <c r="D195" i="13"/>
  <c r="D175" i="13"/>
  <c r="D168" i="13"/>
  <c r="D196" i="13"/>
  <c r="D170" i="13"/>
  <c r="D153" i="13"/>
  <c r="D194" i="13"/>
  <c r="D154" i="13"/>
  <c r="D180" i="13"/>
  <c r="D152" i="13"/>
  <c r="D203" i="13"/>
  <c r="D178" i="13"/>
  <c r="D177" i="13"/>
  <c r="D164" i="13"/>
  <c r="D171" i="13"/>
  <c r="D197" i="13"/>
  <c r="D169" i="13"/>
  <c r="D167" i="13"/>
  <c r="D182" i="13"/>
  <c r="D155" i="13"/>
  <c r="D184" i="13"/>
  <c r="D190" i="13"/>
  <c r="D200" i="13"/>
  <c r="D161" i="13"/>
  <c r="D188" i="13"/>
  <c r="D181" i="13"/>
  <c r="D193" i="13"/>
  <c r="D156" i="13"/>
  <c r="D172" i="13"/>
  <c r="D151" i="13"/>
  <c r="D150" i="13"/>
  <c r="D149" i="13"/>
  <c r="D145" i="13"/>
  <c r="D148" i="13"/>
  <c r="D143" i="13"/>
  <c r="D144" i="13"/>
  <c r="D135" i="13"/>
  <c r="D133" i="13"/>
  <c r="D141" i="13"/>
  <c r="D127" i="13"/>
  <c r="D132" i="13"/>
  <c r="D140" i="13"/>
  <c r="D130" i="13"/>
  <c r="D114" i="13"/>
  <c r="D122" i="13"/>
  <c r="D112" i="13"/>
  <c r="D104" i="13"/>
  <c r="D109" i="13"/>
  <c r="D103" i="13"/>
  <c r="D105" i="13"/>
  <c r="D102" i="13"/>
  <c r="D107" i="13"/>
  <c r="D101" i="13"/>
  <c r="D106" i="13"/>
  <c r="D108" i="13"/>
  <c r="D99" i="13"/>
  <c r="D98" i="13"/>
  <c r="D96" i="13"/>
  <c r="D100" i="13"/>
  <c r="D97" i="13"/>
  <c r="D86" i="13"/>
  <c r="E86" i="13"/>
  <c r="V86" i="12"/>
  <c r="D90" i="13"/>
  <c r="D89" i="13"/>
  <c r="D87" i="13"/>
  <c r="D93" i="13"/>
  <c r="D88" i="13"/>
  <c r="D91" i="13"/>
  <c r="D95" i="13"/>
  <c r="D92" i="13"/>
  <c r="D81" i="13"/>
  <c r="V92" i="12"/>
  <c r="I143" i="12"/>
  <c r="H83" i="12"/>
  <c r="I172" i="12"/>
  <c r="I39" i="12"/>
  <c r="B209" i="12"/>
  <c r="H218" i="12"/>
  <c r="V68" i="12"/>
  <c r="B129" i="12"/>
  <c r="C174" i="13"/>
  <c r="I98" i="12"/>
  <c r="B95" i="12"/>
  <c r="I95" i="12"/>
  <c r="I157" i="12"/>
  <c r="H186" i="12"/>
  <c r="V210" i="12"/>
  <c r="V224" i="12"/>
  <c r="I204" i="12"/>
  <c r="I222" i="12"/>
  <c r="B67" i="12"/>
  <c r="D77" i="13"/>
  <c r="C77" i="13"/>
  <c r="H55" i="12"/>
  <c r="I70" i="12"/>
  <c r="V55" i="12"/>
  <c r="I166" i="12"/>
  <c r="H183" i="12"/>
  <c r="I197" i="12"/>
  <c r="I113" i="12"/>
  <c r="H145" i="12"/>
  <c r="H174" i="12"/>
  <c r="H124" i="12"/>
  <c r="B104" i="12"/>
  <c r="H121" i="12"/>
  <c r="H128" i="12"/>
  <c r="I156" i="12"/>
  <c r="H217" i="12"/>
  <c r="H49" i="12"/>
  <c r="I57" i="12"/>
  <c r="V83" i="12"/>
  <c r="I104" i="12"/>
  <c r="V104" i="12"/>
  <c r="B108" i="12"/>
  <c r="B166" i="12"/>
  <c r="B199" i="12"/>
  <c r="B81" i="12"/>
  <c r="I103" i="12"/>
  <c r="H129" i="12"/>
  <c r="C134" i="13"/>
  <c r="I145" i="12"/>
  <c r="V166" i="12"/>
  <c r="H175" i="12"/>
  <c r="V42" i="12"/>
  <c r="B218" i="12"/>
  <c r="V120" i="12"/>
  <c r="V127" i="12"/>
  <c r="I155" i="12"/>
  <c r="H130" i="12"/>
  <c r="H179" i="12"/>
  <c r="I218" i="12"/>
  <c r="H220" i="12"/>
  <c r="B48" i="12"/>
  <c r="H64" i="12"/>
  <c r="H67" i="12"/>
  <c r="B72" i="12"/>
  <c r="I64" i="12"/>
  <c r="H72" i="12"/>
  <c r="C85" i="13"/>
  <c r="I34" i="12"/>
  <c r="B123" i="12"/>
  <c r="B126" i="12"/>
  <c r="V128" i="12"/>
  <c r="I133" i="12"/>
  <c r="H165" i="12"/>
  <c r="I174" i="12"/>
  <c r="H200" i="12"/>
  <c r="B59" i="12"/>
  <c r="V64" i="12"/>
  <c r="V67" i="12"/>
  <c r="H123" i="12"/>
  <c r="H126" i="12"/>
  <c r="C222" i="13"/>
  <c r="H59" i="12"/>
  <c r="I59" i="12"/>
  <c r="V111" i="12"/>
  <c r="B151" i="12"/>
  <c r="B74" i="12"/>
  <c r="H82" i="12"/>
  <c r="C126" i="13"/>
  <c r="I68" i="12"/>
  <c r="I82" i="12"/>
  <c r="B118" i="12"/>
  <c r="I93" i="12"/>
  <c r="I118" i="12"/>
  <c r="H155" i="12"/>
  <c r="H157" i="12"/>
  <c r="H216" i="12"/>
  <c r="V221" i="12"/>
  <c r="V216" i="12"/>
  <c r="H60" i="12"/>
  <c r="I80" i="12"/>
  <c r="H87" i="12"/>
  <c r="B105" i="12"/>
  <c r="I140" i="12"/>
  <c r="H149" i="12"/>
  <c r="B169" i="12"/>
  <c r="B176" i="12"/>
  <c r="I60" i="12"/>
  <c r="C78" i="13"/>
  <c r="V37" i="12"/>
  <c r="B42" i="12"/>
  <c r="H176" i="12"/>
  <c r="V181" i="12"/>
  <c r="B55" i="12"/>
  <c r="I69" i="12"/>
  <c r="V176" i="12"/>
  <c r="I220" i="12"/>
  <c r="B222" i="12"/>
  <c r="B224" i="12"/>
  <c r="V65" i="12"/>
  <c r="D70" i="13"/>
  <c r="D64" i="13"/>
  <c r="D69" i="13"/>
  <c r="V39" i="12"/>
  <c r="H95" i="12"/>
  <c r="B114" i="12"/>
  <c r="V133" i="12"/>
  <c r="B136" i="12"/>
  <c r="H169" i="12"/>
  <c r="B184" i="12"/>
  <c r="V220" i="12"/>
  <c r="C224" i="13"/>
  <c r="H48" i="12"/>
  <c r="H51" i="12"/>
  <c r="H74" i="12"/>
  <c r="V82" i="12"/>
  <c r="H136" i="12"/>
  <c r="I169" i="12"/>
  <c r="H184" i="12"/>
  <c r="I51" i="12"/>
  <c r="I74" i="12"/>
  <c r="H37" i="12"/>
  <c r="H43" i="12"/>
  <c r="B98" i="12"/>
  <c r="I136" i="12"/>
  <c r="B140" i="12"/>
  <c r="H150" i="12"/>
  <c r="H159" i="12"/>
  <c r="B172" i="12"/>
  <c r="I184" i="12"/>
  <c r="C80" i="13"/>
  <c r="H34" i="12"/>
  <c r="H98" i="12"/>
  <c r="I112" i="12"/>
  <c r="B121" i="12"/>
  <c r="B128" i="12"/>
  <c r="H172" i="12"/>
  <c r="H180" i="12"/>
  <c r="C191" i="13"/>
  <c r="B216" i="12"/>
  <c r="H222" i="12"/>
  <c r="H69" i="12"/>
  <c r="B100" i="12"/>
  <c r="I115" i="12"/>
  <c r="B117" i="12"/>
  <c r="B47" i="12"/>
  <c r="H100" i="12"/>
  <c r="H117" i="12"/>
  <c r="H47" i="12"/>
  <c r="H35" i="12"/>
  <c r="B89" i="12"/>
  <c r="I100" i="12"/>
  <c r="C115" i="13"/>
  <c r="B124" i="12"/>
  <c r="I47" i="12"/>
  <c r="B181" i="12"/>
  <c r="B188" i="12"/>
  <c r="B221" i="12"/>
  <c r="H224" i="12"/>
  <c r="I66" i="12"/>
  <c r="B68" i="12"/>
  <c r="H89" i="12"/>
  <c r="B39" i="12"/>
  <c r="H42" i="12"/>
  <c r="I89" i="12"/>
  <c r="H99" i="12"/>
  <c r="B111" i="12"/>
  <c r="H116" i="12"/>
  <c r="B120" i="12"/>
  <c r="B133" i="12"/>
  <c r="I149" i="12"/>
  <c r="H181" i="12"/>
  <c r="H188" i="12"/>
  <c r="H194" i="12"/>
  <c r="I111" i="12"/>
  <c r="D61" i="13"/>
  <c r="D60" i="13"/>
  <c r="D58" i="13"/>
  <c r="D51" i="13"/>
  <c r="D55" i="13"/>
  <c r="D48" i="13"/>
  <c r="D45" i="13"/>
  <c r="E65" i="13"/>
  <c r="D40" i="13"/>
  <c r="D43" i="13"/>
  <c r="D37" i="13"/>
  <c r="D38" i="13"/>
  <c r="D42" i="13"/>
  <c r="D34" i="13"/>
  <c r="E57" i="13"/>
  <c r="E63" i="13"/>
  <c r="C67" i="13"/>
  <c r="C73" i="13"/>
  <c r="E83" i="13"/>
  <c r="E104" i="13"/>
  <c r="E112" i="13"/>
  <c r="E123" i="13"/>
  <c r="E143" i="13"/>
  <c r="E152" i="13"/>
  <c r="C45" i="13"/>
  <c r="C64" i="13"/>
  <c r="C58" i="13"/>
  <c r="D68" i="13"/>
  <c r="E53" i="13"/>
  <c r="D62" i="13"/>
  <c r="D71" i="13"/>
  <c r="E77" i="13"/>
  <c r="E81" i="13"/>
  <c r="E51" i="13"/>
  <c r="E78" i="13"/>
  <c r="D84" i="13"/>
  <c r="D79" i="13"/>
  <c r="D80" i="13"/>
  <c r="E47" i="13"/>
  <c r="E69" i="13"/>
  <c r="C71" i="13"/>
  <c r="E59" i="13"/>
  <c r="C74" i="13"/>
  <c r="D75" i="13"/>
  <c r="E49" i="13"/>
  <c r="E55" i="13"/>
  <c r="E61" i="13"/>
  <c r="E85" i="13"/>
  <c r="D54" i="13"/>
  <c r="D78" i="13"/>
  <c r="E67" i="13"/>
  <c r="D50" i="13"/>
  <c r="D52" i="13"/>
  <c r="D67" i="13"/>
  <c r="D83" i="13"/>
  <c r="C63" i="13"/>
  <c r="C69" i="13"/>
  <c r="D85" i="13"/>
  <c r="D47" i="13"/>
  <c r="C66" i="13"/>
  <c r="D59" i="13"/>
  <c r="D63" i="13"/>
  <c r="C72" i="13"/>
  <c r="D76" i="13"/>
  <c r="D53" i="13"/>
  <c r="D72" i="13"/>
  <c r="C79" i="13"/>
  <c r="D82" i="13"/>
  <c r="C54" i="13"/>
  <c r="C57" i="13"/>
  <c r="C65" i="13"/>
  <c r="C49" i="13"/>
  <c r="C56" i="13"/>
  <c r="C46" i="13"/>
  <c r="E71" i="13"/>
  <c r="E120" i="13"/>
  <c r="E126" i="13"/>
  <c r="E132" i="13"/>
  <c r="E159" i="13"/>
  <c r="E190" i="13"/>
  <c r="E201" i="13"/>
  <c r="E205" i="13"/>
  <c r="E212" i="13"/>
  <c r="B53" i="12"/>
  <c r="D57" i="13"/>
  <c r="H63" i="12"/>
  <c r="D66" i="13"/>
  <c r="D73" i="13"/>
  <c r="D74" i="13"/>
  <c r="H77" i="12"/>
  <c r="E46" i="13"/>
  <c r="E50" i="13"/>
  <c r="E54" i="13"/>
  <c r="E58" i="13"/>
  <c r="E75" i="13"/>
  <c r="V53" i="12"/>
  <c r="V62" i="12"/>
  <c r="I75" i="12"/>
  <c r="V76" i="12"/>
  <c r="E68" i="13"/>
  <c r="E82" i="13"/>
  <c r="I49" i="12"/>
  <c r="B57" i="12"/>
  <c r="B66" i="12"/>
  <c r="B75" i="12"/>
  <c r="V75" i="12"/>
  <c r="H84" i="12"/>
  <c r="E73" i="13"/>
  <c r="I72" i="12"/>
  <c r="B73" i="12"/>
  <c r="V73" i="12"/>
  <c r="E64" i="13"/>
  <c r="E79" i="13"/>
  <c r="B78" i="12"/>
  <c r="D46" i="13"/>
  <c r="D49" i="13"/>
  <c r="B52" i="12"/>
  <c r="D56" i="13"/>
  <c r="D65" i="13"/>
  <c r="B71" i="12"/>
  <c r="V71" i="12"/>
  <c r="E60" i="13"/>
  <c r="E76" i="13"/>
  <c r="I48" i="12"/>
  <c r="V52" i="12"/>
  <c r="H53" i="12"/>
  <c r="B63" i="12"/>
  <c r="V70" i="12"/>
  <c r="I77" i="12"/>
  <c r="V77" i="12"/>
  <c r="B80" i="12"/>
  <c r="B83" i="12"/>
  <c r="E48" i="13"/>
  <c r="E52" i="13"/>
  <c r="E56" i="13"/>
  <c r="E70" i="13"/>
  <c r="E84" i="13"/>
  <c r="B49" i="12"/>
  <c r="V54" i="12"/>
  <c r="V63" i="12"/>
  <c r="H75" i="12"/>
  <c r="B77" i="12"/>
  <c r="E74" i="13"/>
  <c r="H57" i="12"/>
  <c r="H66" i="12"/>
  <c r="H73" i="12"/>
  <c r="H78" i="12"/>
  <c r="E66" i="13"/>
  <c r="E80" i="13"/>
  <c r="I78" i="12"/>
  <c r="V84" i="12"/>
  <c r="I84" i="12"/>
  <c r="E72" i="13"/>
  <c r="B51" i="12"/>
  <c r="H52" i="12"/>
  <c r="B60" i="12"/>
  <c r="B69" i="12"/>
  <c r="H70" i="12"/>
  <c r="H71" i="12"/>
  <c r="H80" i="12"/>
  <c r="I81" i="12"/>
  <c r="V81" i="12"/>
  <c r="B84" i="12"/>
  <c r="E62" i="13"/>
  <c r="E182" i="13"/>
  <c r="E188" i="13"/>
  <c r="E206" i="13"/>
  <c r="E214" i="13"/>
  <c r="E221" i="13"/>
  <c r="E135" i="13"/>
  <c r="E153" i="13"/>
  <c r="E226" i="13"/>
  <c r="D146" i="13"/>
  <c r="D128" i="13"/>
  <c r="C165" i="13"/>
  <c r="D110" i="13"/>
  <c r="D158" i="13"/>
  <c r="E36" i="13"/>
  <c r="E100" i="13"/>
  <c r="E184" i="13"/>
  <c r="E220" i="13"/>
  <c r="E224" i="13"/>
  <c r="C88" i="13"/>
  <c r="E102" i="13"/>
  <c r="C98" i="13"/>
  <c r="C176" i="13"/>
  <c r="E34" i="13"/>
  <c r="E41" i="13"/>
  <c r="E37" i="13"/>
  <c r="E43" i="13"/>
  <c r="E90" i="13"/>
  <c r="D131" i="13"/>
  <c r="E38" i="13"/>
  <c r="C39" i="13"/>
  <c r="E140" i="13"/>
  <c r="E158" i="13"/>
  <c r="D39" i="13"/>
  <c r="C178" i="13"/>
  <c r="E45" i="13"/>
  <c r="E92" i="13"/>
  <c r="D159" i="13"/>
  <c r="C217" i="13"/>
  <c r="E87" i="13"/>
  <c r="E99" i="13"/>
  <c r="E35" i="13"/>
  <c r="E42" i="13"/>
  <c r="E95" i="13"/>
  <c r="C180" i="13"/>
  <c r="E101" i="13"/>
  <c r="C40" i="13"/>
  <c r="E39" i="13"/>
  <c r="E91" i="13"/>
  <c r="E200" i="13"/>
  <c r="D138" i="13"/>
  <c r="E98" i="13"/>
  <c r="E125" i="13"/>
  <c r="D35" i="13"/>
  <c r="D165" i="13"/>
  <c r="D174" i="13"/>
  <c r="D176" i="13"/>
  <c r="E93" i="13"/>
  <c r="E137" i="13"/>
  <c r="E149" i="13"/>
  <c r="E155" i="13"/>
  <c r="C112" i="13"/>
  <c r="D142" i="13"/>
  <c r="E94" i="13"/>
  <c r="C160" i="13"/>
  <c r="D94" i="13"/>
  <c r="C169" i="13"/>
  <c r="E191" i="13"/>
  <c r="E223" i="13"/>
  <c r="E44" i="13"/>
  <c r="C100" i="13"/>
  <c r="D191" i="13"/>
  <c r="C200" i="13"/>
  <c r="D206" i="13"/>
  <c r="D207" i="13"/>
  <c r="C215" i="13"/>
  <c r="E40" i="13"/>
  <c r="E110" i="13"/>
  <c r="E154" i="13"/>
  <c r="E109" i="13"/>
  <c r="D136" i="13"/>
  <c r="C139" i="13"/>
  <c r="D162" i="13"/>
  <c r="D186" i="13"/>
  <c r="C205" i="13"/>
  <c r="C213" i="13"/>
  <c r="E96" i="13"/>
  <c r="E145" i="13"/>
  <c r="E195" i="13"/>
  <c r="D139" i="13"/>
  <c r="D147" i="13"/>
  <c r="D199" i="13"/>
  <c r="D179" i="13"/>
  <c r="C190" i="13"/>
  <c r="C204" i="13"/>
  <c r="E122" i="13"/>
  <c r="E97" i="13"/>
  <c r="E150" i="13"/>
  <c r="C137" i="13"/>
  <c r="E88" i="13"/>
  <c r="E113" i="13"/>
  <c r="E146" i="13"/>
  <c r="E151" i="13"/>
  <c r="E175" i="13"/>
  <c r="E197" i="13"/>
  <c r="C37" i="13"/>
  <c r="C133" i="13"/>
  <c r="C156" i="13"/>
  <c r="C181" i="13"/>
  <c r="C185" i="13"/>
  <c r="C221" i="13"/>
  <c r="E130" i="13"/>
  <c r="E186" i="13"/>
  <c r="D137" i="13"/>
  <c r="C145" i="13"/>
  <c r="C150" i="13"/>
  <c r="C163" i="13"/>
  <c r="D185" i="13"/>
  <c r="D211" i="13"/>
  <c r="D41" i="13"/>
  <c r="D163" i="13"/>
  <c r="E89" i="13"/>
  <c r="E119" i="13"/>
  <c r="E162" i="13"/>
  <c r="E216" i="13"/>
  <c r="D222" i="13"/>
  <c r="E147" i="13"/>
  <c r="C42" i="13"/>
  <c r="D125" i="13"/>
  <c r="D221" i="13"/>
  <c r="E105" i="13"/>
  <c r="C44" i="13"/>
  <c r="C127" i="13"/>
  <c r="C172" i="13"/>
  <c r="C218" i="13"/>
  <c r="D36" i="13"/>
  <c r="D44" i="13"/>
  <c r="D121" i="13"/>
  <c r="D134" i="13"/>
  <c r="C153" i="13"/>
  <c r="D166" i="13"/>
  <c r="D183" i="13"/>
  <c r="C209" i="13"/>
  <c r="D212" i="13"/>
  <c r="C219" i="13"/>
  <c r="E138" i="13"/>
  <c r="C41" i="13"/>
  <c r="D116" i="13"/>
  <c r="D173" i="13"/>
  <c r="C179" i="13"/>
  <c r="C196" i="13"/>
  <c r="E134" i="13"/>
  <c r="C182" i="13"/>
  <c r="E115" i="13"/>
  <c r="E142" i="13"/>
  <c r="C108" i="13"/>
  <c r="C128" i="13"/>
  <c r="C207" i="13"/>
  <c r="E116" i="13"/>
  <c r="C43" i="13"/>
  <c r="C89" i="13"/>
  <c r="D118" i="13"/>
  <c r="D129" i="13"/>
  <c r="E156" i="13"/>
  <c r="I94" i="12"/>
  <c r="H94" i="12"/>
  <c r="V94" i="12"/>
  <c r="B94" i="12"/>
  <c r="I35" i="12"/>
  <c r="B35" i="12"/>
  <c r="D157" i="13"/>
  <c r="B167" i="12"/>
  <c r="I167" i="12"/>
  <c r="H167" i="12"/>
  <c r="V167" i="12"/>
  <c r="I38" i="12"/>
  <c r="H38" i="12"/>
  <c r="V38" i="12"/>
  <c r="B38" i="12"/>
  <c r="I91" i="12"/>
  <c r="H91" i="12"/>
  <c r="V91" i="12"/>
  <c r="B91" i="12"/>
  <c r="I102" i="12"/>
  <c r="H102" i="12"/>
  <c r="V102" i="12"/>
  <c r="B102" i="12"/>
  <c r="I107" i="12"/>
  <c r="H107" i="12"/>
  <c r="V107" i="12"/>
  <c r="B107" i="12"/>
  <c r="D111" i="13"/>
  <c r="V40" i="12"/>
  <c r="I41" i="12"/>
  <c r="H41" i="12"/>
  <c r="V41" i="12"/>
  <c r="B41" i="12"/>
  <c r="V90" i="12"/>
  <c r="B90" i="12"/>
  <c r="V106" i="12"/>
  <c r="I106" i="12"/>
  <c r="H106" i="12"/>
  <c r="B106" i="12"/>
  <c r="I44" i="12"/>
  <c r="H44" i="12"/>
  <c r="V44" i="12"/>
  <c r="B44" i="12"/>
  <c r="I97" i="12"/>
  <c r="H97" i="12"/>
  <c r="V97" i="12"/>
  <c r="B97" i="12"/>
  <c r="V87" i="12"/>
  <c r="B87" i="12"/>
  <c r="H90" i="12"/>
  <c r="V43" i="12"/>
  <c r="B43" i="12"/>
  <c r="I88" i="12"/>
  <c r="H88" i="12"/>
  <c r="V88" i="12"/>
  <c r="B88" i="12"/>
  <c r="B34" i="12"/>
  <c r="B37" i="12"/>
  <c r="I90" i="12"/>
  <c r="D123" i="13"/>
  <c r="H122" i="12"/>
  <c r="V105" i="12"/>
  <c r="H114" i="12"/>
  <c r="D119" i="13"/>
  <c r="V110" i="12"/>
  <c r="D117" i="13"/>
  <c r="V108" i="12"/>
  <c r="B112" i="12"/>
  <c r="H113" i="12"/>
  <c r="I122" i="12"/>
  <c r="V112" i="12"/>
  <c r="B93" i="12"/>
  <c r="B99" i="12"/>
  <c r="B103" i="12"/>
  <c r="B115" i="12"/>
  <c r="D115" i="13"/>
  <c r="I105" i="12"/>
  <c r="D113" i="13"/>
  <c r="V93" i="12"/>
  <c r="V99" i="12"/>
  <c r="V103" i="12"/>
  <c r="I114" i="12"/>
  <c r="V116" i="12"/>
  <c r="I117" i="12"/>
  <c r="D124" i="13"/>
  <c r="I108" i="12"/>
  <c r="B116" i="12"/>
  <c r="I120" i="12"/>
  <c r="D120" i="13"/>
  <c r="V122" i="12"/>
  <c r="D126" i="13"/>
  <c r="V113" i="12"/>
  <c r="H115" i="12"/>
  <c r="H131" i="12"/>
  <c r="V131" i="12"/>
  <c r="B131" i="12"/>
  <c r="H135" i="12"/>
  <c r="H137" i="12"/>
  <c r="H143" i="12"/>
  <c r="H144" i="12"/>
  <c r="V158" i="12"/>
  <c r="I123" i="12"/>
  <c r="I126" i="12"/>
  <c r="B127" i="12"/>
  <c r="B134" i="12"/>
  <c r="V134" i="12"/>
  <c r="V141" i="12"/>
  <c r="B141" i="12"/>
  <c r="B139" i="12"/>
  <c r="V139" i="12"/>
  <c r="I146" i="12"/>
  <c r="H146" i="12"/>
  <c r="V118" i="12"/>
  <c r="V121" i="12"/>
  <c r="V124" i="12"/>
  <c r="V129" i="12"/>
  <c r="I130" i="12"/>
  <c r="I132" i="12"/>
  <c r="B138" i="12"/>
  <c r="V138" i="12"/>
  <c r="H141" i="12"/>
  <c r="B146" i="12"/>
  <c r="B137" i="12"/>
  <c r="V137" i="12"/>
  <c r="V164" i="12"/>
  <c r="B171" i="12"/>
  <c r="V171" i="12"/>
  <c r="I171" i="12"/>
  <c r="H171" i="12"/>
  <c r="B135" i="12"/>
  <c r="V135" i="12"/>
  <c r="B143" i="12"/>
  <c r="V147" i="12"/>
  <c r="B147" i="12"/>
  <c r="H127" i="12"/>
  <c r="H134" i="12"/>
  <c r="H139" i="12"/>
  <c r="V140" i="12"/>
  <c r="V144" i="12"/>
  <c r="B144" i="12"/>
  <c r="H147" i="12"/>
  <c r="I154" i="12"/>
  <c r="H154" i="12"/>
  <c r="B130" i="12"/>
  <c r="B132" i="12"/>
  <c r="V132" i="12"/>
  <c r="H138" i="12"/>
  <c r="I147" i="12"/>
  <c r="I151" i="12"/>
  <c r="H151" i="12"/>
  <c r="B154" i="12"/>
  <c r="B173" i="12"/>
  <c r="I173" i="12"/>
  <c r="B162" i="12"/>
  <c r="V162" i="12"/>
  <c r="B168" i="12"/>
  <c r="B189" i="12"/>
  <c r="I189" i="12"/>
  <c r="H189" i="12"/>
  <c r="B160" i="12"/>
  <c r="B150" i="12"/>
  <c r="B156" i="12"/>
  <c r="V160" i="12"/>
  <c r="I161" i="12"/>
  <c r="B165" i="12"/>
  <c r="I165" i="12"/>
  <c r="D187" i="13"/>
  <c r="B170" i="12"/>
  <c r="I170" i="12"/>
  <c r="V150" i="12"/>
  <c r="V153" i="12"/>
  <c r="V156" i="12"/>
  <c r="H173" i="12"/>
  <c r="V189" i="12"/>
  <c r="H162" i="12"/>
  <c r="V163" i="12"/>
  <c r="H168" i="12"/>
  <c r="H192" i="12"/>
  <c r="B192" i="12"/>
  <c r="V192" i="12"/>
  <c r="I192" i="12"/>
  <c r="B145" i="12"/>
  <c r="B149" i="12"/>
  <c r="B155" i="12"/>
  <c r="B157" i="12"/>
  <c r="B159" i="12"/>
  <c r="I162" i="12"/>
  <c r="I168" i="12"/>
  <c r="B174" i="12"/>
  <c r="D198" i="13"/>
  <c r="V159" i="12"/>
  <c r="H160" i="12"/>
  <c r="B161" i="12"/>
  <c r="V161" i="12"/>
  <c r="B175" i="12"/>
  <c r="I175" i="12"/>
  <c r="B190" i="12"/>
  <c r="I190" i="12"/>
  <c r="H190" i="12"/>
  <c r="D192" i="13"/>
  <c r="I160" i="12"/>
  <c r="H170" i="12"/>
  <c r="I198" i="12"/>
  <c r="H198" i="12"/>
  <c r="B198" i="12"/>
  <c r="V202" i="12"/>
  <c r="H202" i="12"/>
  <c r="B206" i="12"/>
  <c r="V206" i="12"/>
  <c r="I206" i="12"/>
  <c r="B179" i="12"/>
  <c r="B182" i="12"/>
  <c r="B185" i="12"/>
  <c r="I201" i="12"/>
  <c r="H201" i="12"/>
  <c r="B201" i="12"/>
  <c r="B202" i="12"/>
  <c r="H206" i="12"/>
  <c r="V199" i="12"/>
  <c r="H199" i="12"/>
  <c r="E114" i="13"/>
  <c r="B187" i="12"/>
  <c r="V193" i="12"/>
  <c r="H193" i="12"/>
  <c r="I180" i="12"/>
  <c r="I183" i="12"/>
  <c r="I186" i="12"/>
  <c r="V187" i="12"/>
  <c r="I188" i="12"/>
  <c r="B193" i="12"/>
  <c r="I202" i="12"/>
  <c r="B208" i="12"/>
  <c r="I208" i="12"/>
  <c r="H208" i="12"/>
  <c r="V208" i="12"/>
  <c r="I205" i="12"/>
  <c r="H205" i="12"/>
  <c r="B205" i="12"/>
  <c r="H182" i="12"/>
  <c r="H185" i="12"/>
  <c r="B214" i="12"/>
  <c r="I214" i="12"/>
  <c r="H214" i="12"/>
  <c r="V214" i="12"/>
  <c r="I179" i="12"/>
  <c r="I182" i="12"/>
  <c r="I185" i="12"/>
  <c r="V191" i="12"/>
  <c r="I193" i="12"/>
  <c r="V195" i="12"/>
  <c r="H195" i="12"/>
  <c r="V201" i="12"/>
  <c r="D220" i="13"/>
  <c r="B180" i="12"/>
  <c r="B183" i="12"/>
  <c r="B186" i="12"/>
  <c r="H187" i="12"/>
  <c r="B195" i="12"/>
  <c r="I196" i="12"/>
  <c r="H196" i="12"/>
  <c r="B196" i="12"/>
  <c r="V198" i="12"/>
  <c r="E136" i="13"/>
  <c r="E117" i="13"/>
  <c r="V194" i="12"/>
  <c r="V197" i="12"/>
  <c r="V200" i="12"/>
  <c r="V204" i="12"/>
  <c r="D209" i="13"/>
  <c r="I211" i="12"/>
  <c r="D216" i="13"/>
  <c r="B223" i="12"/>
  <c r="I223" i="12"/>
  <c r="D224" i="13"/>
  <c r="E196" i="13"/>
  <c r="I207" i="12"/>
  <c r="I215" i="12"/>
  <c r="D225" i="13"/>
  <c r="E118" i="13"/>
  <c r="E133" i="13"/>
  <c r="E202" i="13"/>
  <c r="E215" i="13"/>
  <c r="E111" i="13"/>
  <c r="B211" i="12"/>
  <c r="E131" i="13"/>
  <c r="V211" i="12"/>
  <c r="V219" i="12"/>
  <c r="B207" i="12"/>
  <c r="B226" i="12"/>
  <c r="I226" i="12"/>
  <c r="H226" i="12"/>
  <c r="E108" i="13"/>
  <c r="E148" i="13"/>
  <c r="E198" i="13"/>
  <c r="V207" i="12"/>
  <c r="V213" i="12"/>
  <c r="B215" i="12"/>
  <c r="B217" i="12"/>
  <c r="V217" i="12"/>
  <c r="V223" i="12"/>
  <c r="E128" i="13"/>
  <c r="E165" i="13"/>
  <c r="E180" i="13"/>
  <c r="H209" i="12"/>
  <c r="H210" i="12"/>
  <c r="V215" i="12"/>
  <c r="E124" i="13"/>
  <c r="E207" i="13"/>
  <c r="B194" i="12"/>
  <c r="B197" i="12"/>
  <c r="B200" i="12"/>
  <c r="B204" i="12"/>
  <c r="I209" i="12"/>
  <c r="I210" i="12"/>
  <c r="E139" i="13"/>
  <c r="E210" i="13"/>
  <c r="I221" i="12"/>
  <c r="E144" i="13"/>
  <c r="E163" i="13"/>
  <c r="E166" i="13"/>
  <c r="E172" i="13"/>
  <c r="E178" i="13"/>
  <c r="E181" i="13"/>
  <c r="E189" i="13"/>
  <c r="E199" i="13"/>
  <c r="E204" i="13"/>
  <c r="E218" i="13"/>
  <c r="E161" i="13"/>
  <c r="E164" i="13"/>
  <c r="E171" i="13"/>
  <c r="E179" i="13"/>
  <c r="E194" i="13"/>
  <c r="E209" i="13"/>
  <c r="E107" i="13"/>
  <c r="E129" i="13"/>
  <c r="E213" i="13"/>
  <c r="E222" i="13"/>
  <c r="E106" i="13"/>
  <c r="E127" i="13"/>
  <c r="E170" i="13"/>
  <c r="E177" i="13"/>
  <c r="E193" i="13"/>
  <c r="E203" i="13"/>
  <c r="E208" i="13"/>
  <c r="E219" i="13"/>
  <c r="E169" i="13"/>
  <c r="E176" i="13"/>
  <c r="E187" i="13"/>
  <c r="E217" i="13"/>
  <c r="E225" i="13"/>
  <c r="E103" i="13"/>
  <c r="E121" i="13"/>
  <c r="E141" i="13"/>
  <c r="E160" i="13"/>
  <c r="E211" i="13"/>
  <c r="E168" i="13"/>
  <c r="E174" i="13"/>
  <c r="E185" i="13"/>
  <c r="E192" i="13"/>
  <c r="E157" i="13"/>
  <c r="E167" i="13"/>
  <c r="E173" i="13"/>
  <c r="E183" i="13"/>
  <c r="F11" i="13"/>
  <c r="F33" i="13"/>
  <c r="F32" i="13"/>
  <c r="F31" i="13"/>
  <c r="F30" i="13"/>
  <c r="F29" i="13"/>
  <c r="F28" i="13"/>
  <c r="F27" i="13"/>
  <c r="F26" i="13"/>
  <c r="F25" i="13"/>
  <c r="F24" i="13"/>
  <c r="F23" i="13"/>
  <c r="F22" i="13"/>
  <c r="F21" i="13"/>
  <c r="F20" i="13"/>
  <c r="F19" i="13"/>
  <c r="F18" i="13"/>
  <c r="F17" i="13"/>
  <c r="F13" i="13"/>
  <c r="A33" i="13"/>
  <c r="A32" i="13"/>
  <c r="A31" i="13"/>
  <c r="A30" i="13"/>
  <c r="A29" i="13"/>
  <c r="A28" i="13"/>
  <c r="A27" i="13"/>
  <c r="A26" i="13"/>
  <c r="A25" i="13"/>
  <c r="A24" i="13"/>
  <c r="A23" i="13"/>
  <c r="A22" i="13"/>
  <c r="A21" i="13"/>
  <c r="A20" i="13"/>
  <c r="A19" i="13"/>
  <c r="A18" i="13"/>
  <c r="A17" i="13"/>
  <c r="W33" i="12"/>
  <c r="A33" i="12"/>
  <c r="I33" i="12" s="1"/>
  <c r="X32" i="12"/>
  <c r="W32" i="12"/>
  <c r="A32" i="12"/>
  <c r="X31" i="12"/>
  <c r="W31" i="12"/>
  <c r="A31" i="12"/>
  <c r="W30" i="12"/>
  <c r="A30" i="12"/>
  <c r="B30" i="12" s="1"/>
  <c r="W29" i="12"/>
  <c r="A29" i="12"/>
  <c r="H29" i="12" s="1"/>
  <c r="W28" i="12"/>
  <c r="A28" i="12"/>
  <c r="H28" i="12" s="1"/>
  <c r="W27" i="12"/>
  <c r="A27" i="12"/>
  <c r="B27" i="12" s="1"/>
  <c r="X26" i="12"/>
  <c r="W26" i="12"/>
  <c r="A26" i="12"/>
  <c r="W25" i="12"/>
  <c r="A25" i="12"/>
  <c r="I25" i="12" s="1"/>
  <c r="W24" i="12"/>
  <c r="A24" i="12"/>
  <c r="H24" i="12" s="1"/>
  <c r="W23" i="12"/>
  <c r="A23" i="12"/>
  <c r="B23" i="12" s="1"/>
  <c r="W22" i="12"/>
  <c r="A22" i="12"/>
  <c r="V22" i="12" s="1"/>
  <c r="W21" i="12"/>
  <c r="A21" i="12"/>
  <c r="B21" i="12" s="1"/>
  <c r="W20" i="12"/>
  <c r="A20" i="12"/>
  <c r="B20" i="12" s="1"/>
  <c r="W19" i="12"/>
  <c r="A19" i="12"/>
  <c r="I19" i="12" s="1"/>
  <c r="W18" i="12"/>
  <c r="A18" i="12"/>
  <c r="H18" i="12" s="1"/>
  <c r="X17" i="12"/>
  <c r="W17" i="12"/>
  <c r="A17" i="12"/>
  <c r="E7" i="13"/>
  <c r="P9" i="12"/>
  <c r="F10" i="13"/>
  <c r="G10" i="13" s="1"/>
  <c r="H10" i="13" s="1"/>
  <c r="I10" i="13" s="1"/>
  <c r="J10" i="13" s="1"/>
  <c r="K10" i="13" s="1"/>
  <c r="L10" i="13" s="1"/>
  <c r="M10" i="13" s="1"/>
  <c r="N10" i="13" s="1"/>
  <c r="O10" i="13" s="1"/>
  <c r="U10" i="13"/>
  <c r="AK9" i="11"/>
  <c r="AK10" i="11" s="1"/>
  <c r="K235" i="12"/>
  <c r="X13" i="12"/>
  <c r="W13" i="12"/>
  <c r="N24" i="17"/>
  <c r="N26" i="17" s="1"/>
  <c r="Q224" i="16"/>
  <c r="Q223" i="16"/>
  <c r="P2" i="11"/>
  <c r="A20" i="11"/>
  <c r="A23" i="11" s="1"/>
  <c r="Q10" i="12"/>
  <c r="Q11" i="17"/>
  <c r="I37" i="17" s="1"/>
  <c r="N8" i="11"/>
  <c r="O9" i="11"/>
  <c r="P9" i="11" s="1"/>
  <c r="O10" i="11"/>
  <c r="A13" i="11"/>
  <c r="K13" i="11" s="1"/>
  <c r="N11" i="11" s="1"/>
  <c r="D17" i="11"/>
  <c r="L77" i="11"/>
  <c r="K241" i="12"/>
  <c r="L80" i="11" s="1"/>
  <c r="A11" i="13"/>
  <c r="X11" i="12"/>
  <c r="O11" i="12" s="1"/>
  <c r="D11" i="13" s="1"/>
  <c r="J12" i="12"/>
  <c r="A12" i="13" s="1"/>
  <c r="N12" i="12"/>
  <c r="U12" i="12" s="1"/>
  <c r="A13" i="13"/>
  <c r="E13" i="13" s="1"/>
  <c r="K238" i="12"/>
  <c r="B229" i="13" s="1"/>
  <c r="N2" i="12"/>
  <c r="Y10" i="12"/>
  <c r="Z10" i="12"/>
  <c r="A11" i="12"/>
  <c r="V11" i="12" s="1"/>
  <c r="W11" i="12"/>
  <c r="A13" i="12"/>
  <c r="D13" i="12" s="1"/>
  <c r="D14" i="12" s="1"/>
  <c r="N1" i="17"/>
  <c r="C2" i="17"/>
  <c r="A3" i="17"/>
  <c r="I5" i="17"/>
  <c r="K5" i="17"/>
  <c r="C8" i="17"/>
  <c r="I8" i="17"/>
  <c r="C9" i="17"/>
  <c r="C10" i="17"/>
  <c r="C11" i="17"/>
  <c r="C12" i="17"/>
  <c r="C13" i="17"/>
  <c r="C14" i="17"/>
  <c r="A15" i="17"/>
  <c r="C15" i="17" s="1"/>
  <c r="I18" i="17"/>
  <c r="M18" i="17"/>
  <c r="I19" i="17"/>
  <c r="M19" i="17"/>
  <c r="P19" i="17" s="1"/>
  <c r="I20" i="17"/>
  <c r="M20" i="17"/>
  <c r="C21" i="17"/>
  <c r="I21" i="17"/>
  <c r="M21" i="17"/>
  <c r="A22" i="17"/>
  <c r="C22" i="17" s="1"/>
  <c r="I22" i="17"/>
  <c r="M22" i="17"/>
  <c r="C27" i="17"/>
  <c r="A28" i="17"/>
  <c r="C28" i="17" s="1"/>
  <c r="I29" i="17"/>
  <c r="M32" i="17"/>
  <c r="I35" i="17"/>
  <c r="C38" i="17"/>
  <c r="A39" i="17"/>
  <c r="A40" i="17" s="1"/>
  <c r="C39" i="17"/>
  <c r="C44" i="17"/>
  <c r="A45" i="17"/>
  <c r="A46" i="17" s="1"/>
  <c r="C46" i="17" s="1"/>
  <c r="C45" i="17"/>
  <c r="J47" i="17"/>
  <c r="J48" i="17"/>
  <c r="J49" i="17"/>
  <c r="J50" i="17"/>
  <c r="A55" i="16"/>
  <c r="G55" i="16" s="1"/>
  <c r="A56" i="16"/>
  <c r="I49" i="17" s="1"/>
  <c r="A57" i="16"/>
  <c r="I50" i="17" s="1"/>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C3" i="17"/>
  <c r="A4" i="17"/>
  <c r="A5" i="17" s="1"/>
  <c r="Q18" i="17"/>
  <c r="R18" i="17"/>
  <c r="D13" i="13"/>
  <c r="X30" i="12"/>
  <c r="X25" i="12"/>
  <c r="X29" i="12"/>
  <c r="U38" i="16"/>
  <c r="X21" i="12"/>
  <c r="X33" i="12"/>
  <c r="V38" i="16"/>
  <c r="X18" i="12"/>
  <c r="W38" i="16"/>
  <c r="X24" i="12"/>
  <c r="X22" i="12"/>
  <c r="X38" i="16"/>
  <c r="X20" i="12"/>
  <c r="X23" i="12"/>
  <c r="X19" i="12"/>
  <c r="X28" i="12"/>
  <c r="X27" i="12"/>
  <c r="D15" i="12" l="1"/>
  <c r="A26" i="11"/>
  <c r="C120" i="13"/>
  <c r="C86" i="13"/>
  <c r="I24" i="12"/>
  <c r="V25" i="12"/>
  <c r="B25" i="12"/>
  <c r="V24" i="12"/>
  <c r="V33" i="12"/>
  <c r="B18" i="12"/>
  <c r="C13" i="12"/>
  <c r="I22" i="12"/>
  <c r="V20" i="12"/>
  <c r="I20" i="12"/>
  <c r="H20" i="12"/>
  <c r="I18" i="12"/>
  <c r="H33" i="12"/>
  <c r="I21" i="12"/>
  <c r="V28" i="12"/>
  <c r="H19" i="12"/>
  <c r="B19" i="12"/>
  <c r="V23" i="12"/>
  <c r="B22" i="12"/>
  <c r="B33" i="12"/>
  <c r="I23" i="12"/>
  <c r="H22" i="12"/>
  <c r="H23" i="12"/>
  <c r="V13" i="12"/>
  <c r="V14" i="12" s="1"/>
  <c r="I28" i="12"/>
  <c r="V21" i="12"/>
  <c r="S13" i="12"/>
  <c r="H30" i="12"/>
  <c r="F13" i="12"/>
  <c r="F14" i="12" s="1"/>
  <c r="F15" i="12" s="1"/>
  <c r="F16" i="12" s="1"/>
  <c r="I30" i="12"/>
  <c r="H21" i="12"/>
  <c r="E13" i="12"/>
  <c r="E14" i="12" s="1"/>
  <c r="E15" i="12" s="1"/>
  <c r="E16" i="12" s="1"/>
  <c r="B29" i="12"/>
  <c r="G13" i="12"/>
  <c r="G14" i="12" s="1"/>
  <c r="G15" i="12" s="1"/>
  <c r="G16" i="12" s="1"/>
  <c r="V19" i="12"/>
  <c r="V18" i="12"/>
  <c r="V29" i="12"/>
  <c r="I29" i="12"/>
  <c r="V32" i="12"/>
  <c r="D30" i="13"/>
  <c r="D29" i="13"/>
  <c r="C60" i="13"/>
  <c r="C51" i="13"/>
  <c r="C223" i="13"/>
  <c r="C55" i="13"/>
  <c r="C81" i="13"/>
  <c r="C62" i="13"/>
  <c r="C52" i="13"/>
  <c r="C84" i="13"/>
  <c r="C83" i="13"/>
  <c r="C82" i="13"/>
  <c r="C50" i="13"/>
  <c r="C59" i="13"/>
  <c r="C76" i="13"/>
  <c r="C75" i="13"/>
  <c r="C70" i="13"/>
  <c r="C47" i="13"/>
  <c r="C53" i="13"/>
  <c r="C68" i="13"/>
  <c r="C48" i="13"/>
  <c r="C61" i="13"/>
  <c r="C130" i="13"/>
  <c r="C155" i="13"/>
  <c r="C91" i="13"/>
  <c r="C197" i="13"/>
  <c r="C188" i="13"/>
  <c r="C177" i="13"/>
  <c r="C95" i="13"/>
  <c r="C175" i="13"/>
  <c r="C201" i="13"/>
  <c r="C194" i="13"/>
  <c r="C166" i="13"/>
  <c r="C184" i="13"/>
  <c r="C36" i="13"/>
  <c r="C92" i="13"/>
  <c r="C183" i="13"/>
  <c r="C104" i="13"/>
  <c r="C164" i="13"/>
  <c r="C118" i="13"/>
  <c r="C11" i="12"/>
  <c r="C211" i="13"/>
  <c r="C147" i="13"/>
  <c r="D11" i="12"/>
  <c r="I11" i="12"/>
  <c r="C140" i="13"/>
  <c r="C202" i="13"/>
  <c r="C203" i="13"/>
  <c r="C148" i="13"/>
  <c r="C116" i="13"/>
  <c r="F11" i="12"/>
  <c r="C162" i="13"/>
  <c r="C198" i="13"/>
  <c r="H11" i="12"/>
  <c r="C226" i="13"/>
  <c r="C210" i="13"/>
  <c r="C189" i="13"/>
  <c r="E11" i="12"/>
  <c r="G11" i="12"/>
  <c r="C199" i="13"/>
  <c r="C154" i="13"/>
  <c r="C161" i="13"/>
  <c r="C167" i="13"/>
  <c r="C159" i="13"/>
  <c r="C113" i="13"/>
  <c r="C35" i="13"/>
  <c r="C34" i="13"/>
  <c r="C157" i="13"/>
  <c r="C214" i="13"/>
  <c r="C195" i="13"/>
  <c r="C136" i="13"/>
  <c r="C152" i="13"/>
  <c r="C109" i="13"/>
  <c r="C87" i="13"/>
  <c r="C125" i="13"/>
  <c r="C106" i="13"/>
  <c r="C38" i="13"/>
  <c r="C94" i="13"/>
  <c r="C149" i="13"/>
  <c r="C146" i="13"/>
  <c r="C123" i="13"/>
  <c r="C206" i="13"/>
  <c r="C129" i="13"/>
  <c r="C103" i="13"/>
  <c r="C111" i="13"/>
  <c r="C193" i="13"/>
  <c r="C141" i="13"/>
  <c r="C135" i="13"/>
  <c r="C158" i="13"/>
  <c r="C101" i="13"/>
  <c r="C225" i="13"/>
  <c r="C173" i="13"/>
  <c r="C132" i="13"/>
  <c r="C99" i="13"/>
  <c r="C107" i="13"/>
  <c r="C220" i="13"/>
  <c r="C171" i="13"/>
  <c r="C124" i="13"/>
  <c r="C96" i="13"/>
  <c r="C114" i="13"/>
  <c r="C122" i="13"/>
  <c r="C102" i="13"/>
  <c r="C186" i="13"/>
  <c r="C168" i="13"/>
  <c r="C192" i="13"/>
  <c r="C142" i="13"/>
  <c r="C131" i="13"/>
  <c r="C117" i="13"/>
  <c r="C105" i="13"/>
  <c r="C119" i="13"/>
  <c r="C93" i="13"/>
  <c r="C97" i="13"/>
  <c r="C212" i="13"/>
  <c r="C208" i="13"/>
  <c r="C187" i="13"/>
  <c r="C170" i="13"/>
  <c r="C151" i="13"/>
  <c r="C144" i="13"/>
  <c r="C143" i="13"/>
  <c r="C138" i="13"/>
  <c r="C121" i="13"/>
  <c r="C110" i="13"/>
  <c r="C90" i="13"/>
  <c r="D20" i="13"/>
  <c r="D23" i="13"/>
  <c r="D19" i="13"/>
  <c r="E28" i="13"/>
  <c r="E19" i="13"/>
  <c r="F17" i="12"/>
  <c r="F18" i="12" s="1"/>
  <c r="F19" i="12" s="1"/>
  <c r="F20" i="12" s="1"/>
  <c r="F21" i="12" s="1"/>
  <c r="F22" i="12" s="1"/>
  <c r="F23" i="12" s="1"/>
  <c r="F24" i="12" s="1"/>
  <c r="F25" i="12" s="1"/>
  <c r="F26" i="12" s="1"/>
  <c r="F27" i="12" s="1"/>
  <c r="F28" i="12" s="1"/>
  <c r="F29" i="12" s="1"/>
  <c r="F30" i="12" s="1"/>
  <c r="F31" i="12" s="1"/>
  <c r="F32" i="12" s="1"/>
  <c r="F33" i="12" s="1"/>
  <c r="F34" i="12" s="1"/>
  <c r="F35" i="12" s="1"/>
  <c r="F36" i="12" s="1"/>
  <c r="F37" i="12" s="1"/>
  <c r="F38" i="12" s="1"/>
  <c r="F39" i="12" s="1"/>
  <c r="F40" i="12" s="1"/>
  <c r="F41" i="12" s="1"/>
  <c r="F42" i="12" s="1"/>
  <c r="F43" i="12" s="1"/>
  <c r="F44" i="12" s="1"/>
  <c r="F45" i="12" s="1"/>
  <c r="E17" i="12"/>
  <c r="E18" i="12" s="1"/>
  <c r="E19" i="12" s="1"/>
  <c r="E20" i="12" s="1"/>
  <c r="E21" i="12" s="1"/>
  <c r="E22" i="12" s="1"/>
  <c r="E23" i="12" s="1"/>
  <c r="E24" i="12" s="1"/>
  <c r="E25" i="12" s="1"/>
  <c r="E26" i="12" s="1"/>
  <c r="E27" i="12" s="1"/>
  <c r="E28" i="12" s="1"/>
  <c r="E29" i="12" s="1"/>
  <c r="E30" i="12" s="1"/>
  <c r="E31" i="12" s="1"/>
  <c r="E32" i="12" s="1"/>
  <c r="R19" i="17"/>
  <c r="B11" i="12"/>
  <c r="B28" i="12"/>
  <c r="I27" i="12"/>
  <c r="G17" i="12"/>
  <c r="G18" i="12" s="1"/>
  <c r="G19" i="12" s="1"/>
  <c r="G20" i="12" s="1"/>
  <c r="G21" i="12" s="1"/>
  <c r="G22" i="12" s="1"/>
  <c r="G23" i="12" s="1"/>
  <c r="G24" i="12" s="1"/>
  <c r="G25" i="12" s="1"/>
  <c r="G26" i="12" s="1"/>
  <c r="G27" i="12" s="1"/>
  <c r="G28" i="12" s="1"/>
  <c r="G29" i="12" s="1"/>
  <c r="G30" i="12" s="1"/>
  <c r="G31" i="12" s="1"/>
  <c r="G32" i="12" s="1"/>
  <c r="G33" i="12" s="1"/>
  <c r="G34" i="12" s="1"/>
  <c r="G35" i="12" s="1"/>
  <c r="G36" i="12" s="1"/>
  <c r="G37" i="12" s="1"/>
  <c r="G38" i="12" s="1"/>
  <c r="G39" i="12" s="1"/>
  <c r="G40" i="12" s="1"/>
  <c r="G41" i="12" s="1"/>
  <c r="G42" i="12" s="1"/>
  <c r="G43" i="12" s="1"/>
  <c r="G44" i="12" s="1"/>
  <c r="G45" i="12" s="1"/>
  <c r="C4" i="17"/>
  <c r="Q20" i="17" s="1"/>
  <c r="A29" i="17"/>
  <c r="Q19" i="17"/>
  <c r="A5" i="12"/>
  <c r="V27" i="12"/>
  <c r="A23" i="17"/>
  <c r="P18" i="17"/>
  <c r="H27" i="12"/>
  <c r="G57" i="16"/>
  <c r="E26" i="13"/>
  <c r="O42" i="17"/>
  <c r="D33" i="13"/>
  <c r="E27" i="13"/>
  <c r="B232" i="13"/>
  <c r="O27" i="17"/>
  <c r="D27" i="13"/>
  <c r="L32" i="17"/>
  <c r="C29" i="13"/>
  <c r="N25" i="17"/>
  <c r="N27" i="17" s="1"/>
  <c r="M33" i="17"/>
  <c r="E24" i="13"/>
  <c r="E23" i="13"/>
  <c r="E25" i="13"/>
  <c r="E17" i="13"/>
  <c r="E29" i="13"/>
  <c r="E18" i="13"/>
  <c r="E30" i="13"/>
  <c r="E31" i="13"/>
  <c r="L11" i="11"/>
  <c r="E21" i="13"/>
  <c r="E33" i="13"/>
  <c r="D25" i="13"/>
  <c r="E11" i="13"/>
  <c r="E20" i="13"/>
  <c r="E32" i="13"/>
  <c r="E22" i="13"/>
  <c r="D26" i="13"/>
  <c r="C30" i="13"/>
  <c r="D17" i="13"/>
  <c r="D22" i="13"/>
  <c r="C20" i="13"/>
  <c r="C19" i="13"/>
  <c r="C13" i="11"/>
  <c r="E13" i="11" s="1"/>
  <c r="C22" i="13"/>
  <c r="Y11" i="12"/>
  <c r="D28" i="13"/>
  <c r="M11" i="11"/>
  <c r="N11" i="12"/>
  <c r="U11" i="12" s="1"/>
  <c r="C21" i="13"/>
  <c r="C31" i="13"/>
  <c r="D24" i="13"/>
  <c r="D21" i="13"/>
  <c r="D31" i="13"/>
  <c r="D32" i="13"/>
  <c r="D18" i="13"/>
  <c r="S110" i="16"/>
  <c r="V227" i="16"/>
  <c r="S112" i="16"/>
  <c r="X227" i="16"/>
  <c r="S111" i="16"/>
  <c r="W227" i="16"/>
  <c r="U227" i="16"/>
  <c r="S109" i="16"/>
  <c r="C28" i="13"/>
  <c r="A41" i="17"/>
  <c r="C40" i="17"/>
  <c r="C13" i="13"/>
  <c r="C33" i="13"/>
  <c r="Q9" i="11"/>
  <c r="R9" i="11" s="1"/>
  <c r="S9" i="11" s="1"/>
  <c r="T9" i="11" s="1"/>
  <c r="U9" i="11" s="1"/>
  <c r="V9" i="11" s="1"/>
  <c r="W9" i="11" s="1"/>
  <c r="X9" i="11" s="1"/>
  <c r="Y9" i="11" s="1"/>
  <c r="Z9" i="11" s="1"/>
  <c r="AA9" i="11" s="1"/>
  <c r="AB9" i="11" s="1"/>
  <c r="AC9" i="11" s="1"/>
  <c r="AD9" i="11" s="1"/>
  <c r="AE9" i="11" s="1"/>
  <c r="P10" i="11"/>
  <c r="C5" i="17"/>
  <c r="Q21" i="17" s="1"/>
  <c r="A6" i="17"/>
  <c r="H25" i="12"/>
  <c r="I42" i="17"/>
  <c r="A47" i="17"/>
  <c r="V30" i="12"/>
  <c r="P20" i="17"/>
  <c r="C12" i="13"/>
  <c r="A17" i="17"/>
  <c r="B24" i="12"/>
  <c r="R20" i="17"/>
  <c r="G56" i="16"/>
  <c r="T38" i="16"/>
  <c r="D16" i="12" l="1"/>
  <c r="Z15" i="12"/>
  <c r="S15" i="12" s="1"/>
  <c r="T15" i="12" s="1"/>
  <c r="U15" i="12" s="1"/>
  <c r="Z14" i="12"/>
  <c r="S14" i="12" s="1"/>
  <c r="Z16" i="12"/>
  <c r="S16" i="12" s="1"/>
  <c r="T16" i="12" s="1"/>
  <c r="U16" i="12" s="1"/>
  <c r="C14" i="12"/>
  <c r="A29" i="11"/>
  <c r="V17" i="12"/>
  <c r="C23" i="11" s="1"/>
  <c r="K13" i="12"/>
  <c r="B13" i="13" s="1"/>
  <c r="Z86" i="12"/>
  <c r="S86" i="12" s="1"/>
  <c r="M18" i="11"/>
  <c r="C20" i="11"/>
  <c r="G20" i="11" s="1"/>
  <c r="E33" i="12"/>
  <c r="Z85" i="12"/>
  <c r="S85" i="12" s="1"/>
  <c r="Z82" i="12"/>
  <c r="S82" i="12" s="1"/>
  <c r="T82" i="12" s="1"/>
  <c r="U82" i="12" s="1"/>
  <c r="Z84" i="12"/>
  <c r="S84" i="12" s="1"/>
  <c r="T84" i="12" s="1"/>
  <c r="U84" i="12" s="1"/>
  <c r="Z77" i="12"/>
  <c r="S77" i="12" s="1"/>
  <c r="T77" i="12" s="1"/>
  <c r="U77" i="12" s="1"/>
  <c r="Z70" i="12"/>
  <c r="S70" i="12" s="1"/>
  <c r="T70" i="12" s="1"/>
  <c r="U70" i="12" s="1"/>
  <c r="Z61" i="12"/>
  <c r="S61" i="12" s="1"/>
  <c r="Z52" i="12"/>
  <c r="S52" i="12" s="1"/>
  <c r="T52" i="12" s="1"/>
  <c r="U52" i="12" s="1"/>
  <c r="Z54" i="12"/>
  <c r="S54" i="12" s="1"/>
  <c r="Z80" i="12"/>
  <c r="S80" i="12" s="1"/>
  <c r="T80" i="12" s="1"/>
  <c r="U80" i="12" s="1"/>
  <c r="Z71" i="12"/>
  <c r="S71" i="12" s="1"/>
  <c r="T71" i="12" s="1"/>
  <c r="U71" i="12" s="1"/>
  <c r="Z68" i="12"/>
  <c r="S68" i="12" s="1"/>
  <c r="T68" i="12" s="1"/>
  <c r="U68" i="12" s="1"/>
  <c r="Z59" i="12"/>
  <c r="S59" i="12" s="1"/>
  <c r="T59" i="12" s="1"/>
  <c r="U59" i="12" s="1"/>
  <c r="Z50" i="12"/>
  <c r="S50" i="12" s="1"/>
  <c r="Z47" i="12"/>
  <c r="S47" i="12" s="1"/>
  <c r="T47" i="12" s="1"/>
  <c r="U47" i="12" s="1"/>
  <c r="Z83" i="12"/>
  <c r="S83" i="12" s="1"/>
  <c r="T83" i="12" s="1"/>
  <c r="U83" i="12" s="1"/>
  <c r="Z72" i="12"/>
  <c r="S72" i="12" s="1"/>
  <c r="T72" i="12" s="1"/>
  <c r="U72" i="12" s="1"/>
  <c r="Z78" i="12"/>
  <c r="S78" i="12" s="1"/>
  <c r="T78" i="12" s="1"/>
  <c r="U78" i="12" s="1"/>
  <c r="Z74" i="12"/>
  <c r="S74" i="12" s="1"/>
  <c r="T74" i="12" s="1"/>
  <c r="U74" i="12" s="1"/>
  <c r="Z73" i="12"/>
  <c r="S73" i="12" s="1"/>
  <c r="T73" i="12" s="1"/>
  <c r="U73" i="12" s="1"/>
  <c r="Z66" i="12"/>
  <c r="S66" i="12" s="1"/>
  <c r="T66" i="12" s="1"/>
  <c r="U66" i="12" s="1"/>
  <c r="Z57" i="12"/>
  <c r="S57" i="12" s="1"/>
  <c r="T57" i="12" s="1"/>
  <c r="U57" i="12" s="1"/>
  <c r="Z75" i="12"/>
  <c r="S75" i="12" s="1"/>
  <c r="T75" i="12" s="1"/>
  <c r="U75" i="12" s="1"/>
  <c r="Z64" i="12"/>
  <c r="S64" i="12" s="1"/>
  <c r="T64" i="12" s="1"/>
  <c r="U64" i="12" s="1"/>
  <c r="Z55" i="12"/>
  <c r="S55" i="12" s="1"/>
  <c r="T55" i="12" s="1"/>
  <c r="U55" i="12" s="1"/>
  <c r="Z76" i="12"/>
  <c r="S76" i="12" s="1"/>
  <c r="Z62" i="12"/>
  <c r="S62" i="12" s="1"/>
  <c r="Z53" i="12"/>
  <c r="S53" i="12" s="1"/>
  <c r="T53" i="12" s="1"/>
  <c r="U53" i="12" s="1"/>
  <c r="Z48" i="12"/>
  <c r="S48" i="12" s="1"/>
  <c r="T48" i="12" s="1"/>
  <c r="U48" i="12" s="1"/>
  <c r="Z69" i="12"/>
  <c r="S69" i="12" s="1"/>
  <c r="T69" i="12" s="1"/>
  <c r="U69" i="12" s="1"/>
  <c r="Z60" i="12"/>
  <c r="S60" i="12" s="1"/>
  <c r="T60" i="12" s="1"/>
  <c r="U60" i="12" s="1"/>
  <c r="Z51" i="12"/>
  <c r="S51" i="12" s="1"/>
  <c r="T51" i="12" s="1"/>
  <c r="U51" i="12" s="1"/>
  <c r="Z81" i="12"/>
  <c r="S81" i="12" s="1"/>
  <c r="T81" i="12" s="1"/>
  <c r="U81" i="12" s="1"/>
  <c r="Z67" i="12"/>
  <c r="S67" i="12" s="1"/>
  <c r="T67" i="12" s="1"/>
  <c r="U67" i="12" s="1"/>
  <c r="Z58" i="12"/>
  <c r="S58" i="12" s="1"/>
  <c r="Z65" i="12"/>
  <c r="S65" i="12" s="1"/>
  <c r="Z56" i="12"/>
  <c r="S56" i="12" s="1"/>
  <c r="Z49" i="12"/>
  <c r="S49" i="12" s="1"/>
  <c r="T49" i="12" s="1"/>
  <c r="U49" i="12" s="1"/>
  <c r="Z46" i="12"/>
  <c r="S46" i="12" s="1"/>
  <c r="Z79" i="12"/>
  <c r="S79" i="12" s="1"/>
  <c r="Z63" i="12"/>
  <c r="S63" i="12" s="1"/>
  <c r="T63" i="12" s="1"/>
  <c r="U63" i="12" s="1"/>
  <c r="F46" i="12"/>
  <c r="F47" i="12" s="1"/>
  <c r="F48" i="12" s="1"/>
  <c r="F49" i="12" s="1"/>
  <c r="F50" i="12" s="1"/>
  <c r="F51" i="12" s="1"/>
  <c r="F52" i="12" s="1"/>
  <c r="F53" i="12" s="1"/>
  <c r="F54" i="12" s="1"/>
  <c r="F55" i="12" s="1"/>
  <c r="F56" i="12" s="1"/>
  <c r="F57" i="12" s="1"/>
  <c r="F58" i="12" s="1"/>
  <c r="F59" i="12" s="1"/>
  <c r="F60" i="12" s="1"/>
  <c r="F61" i="12" s="1"/>
  <c r="F62" i="12" s="1"/>
  <c r="F63" i="12" s="1"/>
  <c r="F64" i="12" s="1"/>
  <c r="F65" i="12" s="1"/>
  <c r="F66" i="12" s="1"/>
  <c r="F67" i="12" s="1"/>
  <c r="F68" i="12" s="1"/>
  <c r="F69" i="12" s="1"/>
  <c r="F70" i="12" s="1"/>
  <c r="F71" i="12" s="1"/>
  <c r="F72" i="12" s="1"/>
  <c r="F73" i="12" s="1"/>
  <c r="F74" i="12" s="1"/>
  <c r="F75" i="12" s="1"/>
  <c r="F76" i="12" s="1"/>
  <c r="F77" i="12" s="1"/>
  <c r="F78" i="12" s="1"/>
  <c r="F79" i="12" s="1"/>
  <c r="F80" i="12" s="1"/>
  <c r="F81" i="12" s="1"/>
  <c r="F82" i="12" s="1"/>
  <c r="F83" i="12" s="1"/>
  <c r="F84" i="12" s="1"/>
  <c r="F85" i="12" s="1"/>
  <c r="G46" i="12"/>
  <c r="G47" i="12" s="1"/>
  <c r="G48" i="12" s="1"/>
  <c r="G49" i="12" s="1"/>
  <c r="G50" i="12" s="1"/>
  <c r="G51" i="12" s="1"/>
  <c r="G52" i="12" s="1"/>
  <c r="G53" i="12" s="1"/>
  <c r="G54" i="12" s="1"/>
  <c r="G55" i="12" s="1"/>
  <c r="G56" i="12" s="1"/>
  <c r="G57" i="12" s="1"/>
  <c r="G58" i="12" s="1"/>
  <c r="G59" i="12" s="1"/>
  <c r="G60" i="12" s="1"/>
  <c r="G61" i="12" s="1"/>
  <c r="G62" i="12" s="1"/>
  <c r="G63" i="12" s="1"/>
  <c r="G64" i="12" s="1"/>
  <c r="G65" i="12" s="1"/>
  <c r="G66" i="12" s="1"/>
  <c r="G67" i="12" s="1"/>
  <c r="G68" i="12" s="1"/>
  <c r="G69" i="12" s="1"/>
  <c r="G70" i="12" s="1"/>
  <c r="G71" i="12" s="1"/>
  <c r="G72" i="12" s="1"/>
  <c r="G73" i="12" s="1"/>
  <c r="G74" i="12" s="1"/>
  <c r="G75" i="12" s="1"/>
  <c r="G76" i="12" s="1"/>
  <c r="G77" i="12" s="1"/>
  <c r="G78" i="12" s="1"/>
  <c r="G79" i="12" s="1"/>
  <c r="G80" i="12" s="1"/>
  <c r="G81" i="12" s="1"/>
  <c r="G82" i="12" s="1"/>
  <c r="G83" i="12" s="1"/>
  <c r="G84" i="12" s="1"/>
  <c r="G85" i="12" s="1"/>
  <c r="K11" i="12"/>
  <c r="B11" i="13" s="1"/>
  <c r="Z225" i="12"/>
  <c r="S225" i="12" s="1"/>
  <c r="Z224" i="12"/>
  <c r="S224" i="12" s="1"/>
  <c r="T224" i="12" s="1"/>
  <c r="U224" i="12" s="1"/>
  <c r="Z226" i="12"/>
  <c r="S226" i="12" s="1"/>
  <c r="T226" i="12" s="1"/>
  <c r="U226" i="12" s="1"/>
  <c r="Z219" i="12"/>
  <c r="S219" i="12" s="1"/>
  <c r="Z211" i="12"/>
  <c r="S211" i="12" s="1"/>
  <c r="T211" i="12" s="1"/>
  <c r="U211" i="12" s="1"/>
  <c r="Z206" i="12"/>
  <c r="S206" i="12" s="1"/>
  <c r="T206" i="12" s="1"/>
  <c r="U206" i="12" s="1"/>
  <c r="Z210" i="12"/>
  <c r="S210" i="12" s="1"/>
  <c r="T210" i="12" s="1"/>
  <c r="U210" i="12" s="1"/>
  <c r="Z221" i="12"/>
  <c r="S221" i="12" s="1"/>
  <c r="T221" i="12" s="1"/>
  <c r="U221" i="12" s="1"/>
  <c r="Z209" i="12"/>
  <c r="S209" i="12" s="1"/>
  <c r="T209" i="12" s="1"/>
  <c r="U209" i="12" s="1"/>
  <c r="Z205" i="12"/>
  <c r="S205" i="12" s="1"/>
  <c r="T205" i="12" s="1"/>
  <c r="U205" i="12" s="1"/>
  <c r="Z203" i="12"/>
  <c r="S203" i="12" s="1"/>
  <c r="Z201" i="12"/>
  <c r="S201" i="12" s="1"/>
  <c r="T201" i="12" s="1"/>
  <c r="U201" i="12" s="1"/>
  <c r="Z198" i="12"/>
  <c r="S198" i="12" s="1"/>
  <c r="T198" i="12" s="1"/>
  <c r="U198" i="12" s="1"/>
  <c r="Z196" i="12"/>
  <c r="S196" i="12" s="1"/>
  <c r="T196" i="12" s="1"/>
  <c r="U196" i="12" s="1"/>
  <c r="Z192" i="12"/>
  <c r="S192" i="12" s="1"/>
  <c r="T192" i="12" s="1"/>
  <c r="U192" i="12" s="1"/>
  <c r="Z216" i="12"/>
  <c r="S216" i="12" s="1"/>
  <c r="T216" i="12" s="1"/>
  <c r="U216" i="12" s="1"/>
  <c r="Z214" i="12"/>
  <c r="S214" i="12" s="1"/>
  <c r="T214" i="12" s="1"/>
  <c r="U214" i="12" s="1"/>
  <c r="Z208" i="12"/>
  <c r="S208" i="12" s="1"/>
  <c r="T208" i="12" s="1"/>
  <c r="U208" i="12" s="1"/>
  <c r="Z212" i="12"/>
  <c r="S212" i="12" s="1"/>
  <c r="Z220" i="12"/>
  <c r="S220" i="12" s="1"/>
  <c r="T220" i="12" s="1"/>
  <c r="U220" i="12" s="1"/>
  <c r="Z223" i="12"/>
  <c r="S223" i="12" s="1"/>
  <c r="T223" i="12" s="1"/>
  <c r="U223" i="12" s="1"/>
  <c r="Z218" i="12"/>
  <c r="S218" i="12" s="1"/>
  <c r="T218" i="12" s="1"/>
  <c r="U218" i="12" s="1"/>
  <c r="Z217" i="12"/>
  <c r="S217" i="12" s="1"/>
  <c r="T217" i="12" s="1"/>
  <c r="U217" i="12" s="1"/>
  <c r="Z213" i="12"/>
  <c r="S213" i="12" s="1"/>
  <c r="Z207" i="12"/>
  <c r="S207" i="12" s="1"/>
  <c r="T207" i="12" s="1"/>
  <c r="U207" i="12" s="1"/>
  <c r="Z202" i="12"/>
  <c r="S202" i="12" s="1"/>
  <c r="T202" i="12" s="1"/>
  <c r="U202" i="12" s="1"/>
  <c r="Z199" i="12"/>
  <c r="S199" i="12" s="1"/>
  <c r="T199" i="12" s="1"/>
  <c r="U199" i="12" s="1"/>
  <c r="Z195" i="12"/>
  <c r="S195" i="12" s="1"/>
  <c r="T195" i="12" s="1"/>
  <c r="U195" i="12" s="1"/>
  <c r="Z193" i="12"/>
  <c r="S193" i="12" s="1"/>
  <c r="T193" i="12" s="1"/>
  <c r="U193" i="12" s="1"/>
  <c r="Z191" i="12"/>
  <c r="S191" i="12" s="1"/>
  <c r="Z197" i="12"/>
  <c r="S197" i="12" s="1"/>
  <c r="T197" i="12" s="1"/>
  <c r="U197" i="12" s="1"/>
  <c r="Z215" i="12"/>
  <c r="S215" i="12" s="1"/>
  <c r="T215" i="12" s="1"/>
  <c r="U215" i="12" s="1"/>
  <c r="Z204" i="12"/>
  <c r="S204" i="12" s="1"/>
  <c r="T204" i="12" s="1"/>
  <c r="U204" i="12" s="1"/>
  <c r="Z187" i="12"/>
  <c r="S187" i="12" s="1"/>
  <c r="T187" i="12" s="1"/>
  <c r="U187" i="12" s="1"/>
  <c r="Z194" i="12"/>
  <c r="S194" i="12" s="1"/>
  <c r="T194" i="12" s="1"/>
  <c r="U194" i="12" s="1"/>
  <c r="Z185" i="12"/>
  <c r="S185" i="12" s="1"/>
  <c r="T185" i="12" s="1"/>
  <c r="U185" i="12" s="1"/>
  <c r="Z182" i="12"/>
  <c r="S182" i="12" s="1"/>
  <c r="T182" i="12" s="1"/>
  <c r="U182" i="12" s="1"/>
  <c r="Z179" i="12"/>
  <c r="S179" i="12" s="1"/>
  <c r="T179" i="12" s="1"/>
  <c r="U179" i="12" s="1"/>
  <c r="Z189" i="12"/>
  <c r="S189" i="12" s="1"/>
  <c r="T189" i="12" s="1"/>
  <c r="U189" i="12" s="1"/>
  <c r="Z188" i="12"/>
  <c r="S188" i="12" s="1"/>
  <c r="T188" i="12" s="1"/>
  <c r="U188" i="12" s="1"/>
  <c r="Z183" i="12"/>
  <c r="S183" i="12" s="1"/>
  <c r="T183" i="12" s="1"/>
  <c r="U183" i="12" s="1"/>
  <c r="Z190" i="12"/>
  <c r="S190" i="12" s="1"/>
  <c r="T190" i="12" s="1"/>
  <c r="U190" i="12" s="1"/>
  <c r="Z186" i="12"/>
  <c r="S186" i="12" s="1"/>
  <c r="T186" i="12" s="1"/>
  <c r="U186" i="12" s="1"/>
  <c r="Z222" i="12"/>
  <c r="S222" i="12" s="1"/>
  <c r="T222" i="12" s="1"/>
  <c r="U222" i="12" s="1"/>
  <c r="Z200" i="12"/>
  <c r="S200" i="12" s="1"/>
  <c r="T200" i="12" s="1"/>
  <c r="U200" i="12" s="1"/>
  <c r="Z175" i="12"/>
  <c r="S175" i="12" s="1"/>
  <c r="T175" i="12" s="1"/>
  <c r="U175" i="12" s="1"/>
  <c r="Z156" i="12"/>
  <c r="S156" i="12" s="1"/>
  <c r="T156" i="12" s="1"/>
  <c r="U156" i="12" s="1"/>
  <c r="Z153" i="12"/>
  <c r="S153" i="12" s="1"/>
  <c r="Z150" i="12"/>
  <c r="S150" i="12" s="1"/>
  <c r="T150" i="12" s="1"/>
  <c r="U150" i="12" s="1"/>
  <c r="Z172" i="12"/>
  <c r="S172" i="12" s="1"/>
  <c r="T172" i="12" s="1"/>
  <c r="U172" i="12" s="1"/>
  <c r="Z181" i="12"/>
  <c r="S181" i="12" s="1"/>
  <c r="T181" i="12" s="1"/>
  <c r="U181" i="12" s="1"/>
  <c r="Z178" i="12"/>
  <c r="S178" i="12" s="1"/>
  <c r="Z174" i="12"/>
  <c r="S174" i="12" s="1"/>
  <c r="T174" i="12" s="1"/>
  <c r="U174" i="12" s="1"/>
  <c r="Z167" i="12"/>
  <c r="S167" i="12" s="1"/>
  <c r="T167" i="12" s="1"/>
  <c r="U167" i="12" s="1"/>
  <c r="Z160" i="12"/>
  <c r="S160" i="12" s="1"/>
  <c r="T160" i="12" s="1"/>
  <c r="U160" i="12" s="1"/>
  <c r="Z170" i="12"/>
  <c r="S170" i="12" s="1"/>
  <c r="T170" i="12" s="1"/>
  <c r="U170" i="12" s="1"/>
  <c r="Z165" i="12"/>
  <c r="S165" i="12" s="1"/>
  <c r="T165" i="12" s="1"/>
  <c r="U165" i="12" s="1"/>
  <c r="Z184" i="12"/>
  <c r="S184" i="12" s="1"/>
  <c r="T184" i="12" s="1"/>
  <c r="U184" i="12" s="1"/>
  <c r="Z180" i="12"/>
  <c r="S180" i="12" s="1"/>
  <c r="T180" i="12" s="1"/>
  <c r="U180" i="12" s="1"/>
  <c r="Z162" i="12"/>
  <c r="S162" i="12" s="1"/>
  <c r="T162" i="12" s="1"/>
  <c r="U162" i="12" s="1"/>
  <c r="Z158" i="12"/>
  <c r="S158" i="12" s="1"/>
  <c r="Z154" i="12"/>
  <c r="S154" i="12" s="1"/>
  <c r="T154" i="12" s="1"/>
  <c r="U154" i="12" s="1"/>
  <c r="Z151" i="12"/>
  <c r="S151" i="12" s="1"/>
  <c r="T151" i="12" s="1"/>
  <c r="U151" i="12" s="1"/>
  <c r="Z148" i="12"/>
  <c r="S148" i="12" s="1"/>
  <c r="Z146" i="12"/>
  <c r="S146" i="12" s="1"/>
  <c r="T146" i="12" s="1"/>
  <c r="U146" i="12" s="1"/>
  <c r="Z142" i="12"/>
  <c r="S142" i="12" s="1"/>
  <c r="Z140" i="12"/>
  <c r="S140" i="12" s="1"/>
  <c r="T140" i="12" s="1"/>
  <c r="U140" i="12" s="1"/>
  <c r="Z177" i="12"/>
  <c r="S177" i="12" s="1"/>
  <c r="Z168" i="12"/>
  <c r="S168" i="12" s="1"/>
  <c r="T168" i="12" s="1"/>
  <c r="U168" i="12" s="1"/>
  <c r="Z173" i="12"/>
  <c r="S173" i="12" s="1"/>
  <c r="T173" i="12" s="1"/>
  <c r="U173" i="12" s="1"/>
  <c r="Z164" i="12"/>
  <c r="S164" i="12" s="1"/>
  <c r="Z176" i="12"/>
  <c r="S176" i="12" s="1"/>
  <c r="T176" i="12" s="1"/>
  <c r="U176" i="12" s="1"/>
  <c r="Z171" i="12"/>
  <c r="S171" i="12" s="1"/>
  <c r="T171" i="12" s="1"/>
  <c r="U171" i="12" s="1"/>
  <c r="Z157" i="12"/>
  <c r="S157" i="12" s="1"/>
  <c r="T157" i="12" s="1"/>
  <c r="U157" i="12" s="1"/>
  <c r="Z169" i="12"/>
  <c r="S169" i="12" s="1"/>
  <c r="T169" i="12" s="1"/>
  <c r="U169" i="12" s="1"/>
  <c r="Z161" i="12"/>
  <c r="S161" i="12" s="1"/>
  <c r="T161" i="12" s="1"/>
  <c r="U161" i="12" s="1"/>
  <c r="Z159" i="12"/>
  <c r="S159" i="12" s="1"/>
  <c r="T159" i="12" s="1"/>
  <c r="U159" i="12" s="1"/>
  <c r="Z152" i="12"/>
  <c r="S152" i="12" s="1"/>
  <c r="Z149" i="12"/>
  <c r="S149" i="12" s="1"/>
  <c r="T149" i="12" s="1"/>
  <c r="U149" i="12" s="1"/>
  <c r="Z144" i="12"/>
  <c r="S144" i="12" s="1"/>
  <c r="T144" i="12" s="1"/>
  <c r="U144" i="12" s="1"/>
  <c r="Z137" i="12"/>
  <c r="S137" i="12" s="1"/>
  <c r="T137" i="12" s="1"/>
  <c r="U137" i="12" s="1"/>
  <c r="Z138" i="12"/>
  <c r="S138" i="12" s="1"/>
  <c r="T138" i="12" s="1"/>
  <c r="U138" i="12" s="1"/>
  <c r="Z131" i="12"/>
  <c r="S131" i="12" s="1"/>
  <c r="T131" i="12" s="1"/>
  <c r="U131" i="12" s="1"/>
  <c r="Z155" i="12"/>
  <c r="S155" i="12" s="1"/>
  <c r="T155" i="12" s="1"/>
  <c r="U155" i="12" s="1"/>
  <c r="Z143" i="12"/>
  <c r="S143" i="12" s="1"/>
  <c r="T143" i="12" s="1"/>
  <c r="U143" i="12" s="1"/>
  <c r="Z166" i="12"/>
  <c r="S166" i="12" s="1"/>
  <c r="T166" i="12" s="1"/>
  <c r="U166" i="12" s="1"/>
  <c r="Z147" i="12"/>
  <c r="S147" i="12" s="1"/>
  <c r="T147" i="12" s="1"/>
  <c r="U147" i="12" s="1"/>
  <c r="Z139" i="12"/>
  <c r="S139" i="12" s="1"/>
  <c r="T139" i="12" s="1"/>
  <c r="U139" i="12" s="1"/>
  <c r="Z134" i="12"/>
  <c r="S134" i="12" s="1"/>
  <c r="T134" i="12" s="1"/>
  <c r="U134" i="12" s="1"/>
  <c r="Z136" i="12"/>
  <c r="S136" i="12" s="1"/>
  <c r="T136" i="12" s="1"/>
  <c r="U136" i="12" s="1"/>
  <c r="Z125" i="12"/>
  <c r="S125" i="12" s="1"/>
  <c r="Z122" i="12"/>
  <c r="S122" i="12" s="1"/>
  <c r="T122" i="12" s="1"/>
  <c r="U122" i="12" s="1"/>
  <c r="Z119" i="12"/>
  <c r="S119" i="12" s="1"/>
  <c r="Z114" i="12"/>
  <c r="S114" i="12" s="1"/>
  <c r="T114" i="12" s="1"/>
  <c r="U114" i="12" s="1"/>
  <c r="Z111" i="12"/>
  <c r="S111" i="12" s="1"/>
  <c r="T111" i="12" s="1"/>
  <c r="U111" i="12" s="1"/>
  <c r="Z108" i="12"/>
  <c r="S108" i="12" s="1"/>
  <c r="T108" i="12" s="1"/>
  <c r="U108" i="12" s="1"/>
  <c r="Z105" i="12"/>
  <c r="S105" i="12" s="1"/>
  <c r="T105" i="12" s="1"/>
  <c r="U105" i="12" s="1"/>
  <c r="Z163" i="12"/>
  <c r="S163" i="12" s="1"/>
  <c r="Z141" i="12"/>
  <c r="S141" i="12" s="1"/>
  <c r="T141" i="12" s="1"/>
  <c r="U141" i="12" s="1"/>
  <c r="Z130" i="12"/>
  <c r="S130" i="12" s="1"/>
  <c r="T130" i="12" s="1"/>
  <c r="U130" i="12" s="1"/>
  <c r="Z145" i="12"/>
  <c r="S145" i="12" s="1"/>
  <c r="T145" i="12" s="1"/>
  <c r="U145" i="12" s="1"/>
  <c r="Z132" i="12"/>
  <c r="S132" i="12" s="1"/>
  <c r="T132" i="12" s="1"/>
  <c r="U132" i="12" s="1"/>
  <c r="Z128" i="12"/>
  <c r="S128" i="12" s="1"/>
  <c r="T128" i="12" s="1"/>
  <c r="U128" i="12" s="1"/>
  <c r="Z127" i="12"/>
  <c r="S127" i="12" s="1"/>
  <c r="T127" i="12" s="1"/>
  <c r="U127" i="12" s="1"/>
  <c r="Z126" i="12"/>
  <c r="S126" i="12" s="1"/>
  <c r="T126" i="12" s="1"/>
  <c r="U126" i="12" s="1"/>
  <c r="Z120" i="12"/>
  <c r="S120" i="12" s="1"/>
  <c r="T120" i="12" s="1"/>
  <c r="U120" i="12" s="1"/>
  <c r="Z116" i="12"/>
  <c r="S116" i="12" s="1"/>
  <c r="T116" i="12" s="1"/>
  <c r="U116" i="12" s="1"/>
  <c r="Z112" i="12"/>
  <c r="S112" i="12" s="1"/>
  <c r="T112" i="12" s="1"/>
  <c r="U112" i="12" s="1"/>
  <c r="Z110" i="12"/>
  <c r="S110" i="12" s="1"/>
  <c r="Z102" i="12"/>
  <c r="S102" i="12" s="1"/>
  <c r="T102" i="12" s="1"/>
  <c r="U102" i="12" s="1"/>
  <c r="Z97" i="12"/>
  <c r="S97" i="12" s="1"/>
  <c r="T97" i="12" s="1"/>
  <c r="U97" i="12" s="1"/>
  <c r="Z94" i="12"/>
  <c r="S94" i="12" s="1"/>
  <c r="T94" i="12" s="1"/>
  <c r="U94" i="12" s="1"/>
  <c r="Z91" i="12"/>
  <c r="S91" i="12" s="1"/>
  <c r="T91" i="12" s="1"/>
  <c r="U91" i="12" s="1"/>
  <c r="Z88" i="12"/>
  <c r="S88" i="12" s="1"/>
  <c r="T88" i="12" s="1"/>
  <c r="U88" i="12" s="1"/>
  <c r="Z44" i="12"/>
  <c r="S44" i="12" s="1"/>
  <c r="T44" i="12" s="1"/>
  <c r="U44" i="12" s="1"/>
  <c r="Z41" i="12"/>
  <c r="S41" i="12" s="1"/>
  <c r="T41" i="12" s="1"/>
  <c r="U41" i="12" s="1"/>
  <c r="Z38" i="12"/>
  <c r="S38" i="12" s="1"/>
  <c r="T38" i="12" s="1"/>
  <c r="U38" i="12" s="1"/>
  <c r="Z115" i="12"/>
  <c r="S115" i="12" s="1"/>
  <c r="T115" i="12" s="1"/>
  <c r="U115" i="12" s="1"/>
  <c r="Z107" i="12"/>
  <c r="S107" i="12" s="1"/>
  <c r="T107" i="12" s="1"/>
  <c r="U107" i="12" s="1"/>
  <c r="Z118" i="12"/>
  <c r="S118" i="12" s="1"/>
  <c r="T118" i="12" s="1"/>
  <c r="U118" i="12" s="1"/>
  <c r="Z106" i="12"/>
  <c r="S106" i="12" s="1"/>
  <c r="T106" i="12" s="1"/>
  <c r="U106" i="12" s="1"/>
  <c r="Z117" i="12"/>
  <c r="S117" i="12" s="1"/>
  <c r="T117" i="12" s="1"/>
  <c r="U117" i="12" s="1"/>
  <c r="Z104" i="12"/>
  <c r="S104" i="12" s="1"/>
  <c r="T104" i="12" s="1"/>
  <c r="U104" i="12" s="1"/>
  <c r="Z100" i="12"/>
  <c r="S100" i="12" s="1"/>
  <c r="T100" i="12" s="1"/>
  <c r="U100" i="12" s="1"/>
  <c r="Z98" i="12"/>
  <c r="S98" i="12" s="1"/>
  <c r="T98" i="12" s="1"/>
  <c r="U98" i="12" s="1"/>
  <c r="Z95" i="12"/>
  <c r="S95" i="12" s="1"/>
  <c r="T95" i="12" s="1"/>
  <c r="U95" i="12" s="1"/>
  <c r="Z92" i="12"/>
  <c r="S92" i="12" s="1"/>
  <c r="Z89" i="12"/>
  <c r="S89" i="12" s="1"/>
  <c r="T89" i="12" s="1"/>
  <c r="U89" i="12" s="1"/>
  <c r="Z45" i="12"/>
  <c r="S45" i="12" s="1"/>
  <c r="Z42" i="12"/>
  <c r="S42" i="12" s="1"/>
  <c r="T42" i="12" s="1"/>
  <c r="U42" i="12" s="1"/>
  <c r="Z39" i="12"/>
  <c r="S39" i="12" s="1"/>
  <c r="T39" i="12" s="1"/>
  <c r="U39" i="12" s="1"/>
  <c r="Z36" i="12"/>
  <c r="S36" i="12" s="1"/>
  <c r="Z109" i="12"/>
  <c r="S109" i="12" s="1"/>
  <c r="Z124" i="12"/>
  <c r="S124" i="12" s="1"/>
  <c r="T124" i="12" s="1"/>
  <c r="U124" i="12" s="1"/>
  <c r="Z123" i="12"/>
  <c r="S123" i="12" s="1"/>
  <c r="T123" i="12" s="1"/>
  <c r="U123" i="12" s="1"/>
  <c r="Z103" i="12"/>
  <c r="S103" i="12" s="1"/>
  <c r="T103" i="12" s="1"/>
  <c r="U103" i="12" s="1"/>
  <c r="Z133" i="12"/>
  <c r="S133" i="12" s="1"/>
  <c r="T133" i="12" s="1"/>
  <c r="U133" i="12" s="1"/>
  <c r="Z129" i="12"/>
  <c r="S129" i="12" s="1"/>
  <c r="T129" i="12" s="1"/>
  <c r="U129" i="12" s="1"/>
  <c r="Z121" i="12"/>
  <c r="S121" i="12" s="1"/>
  <c r="T121" i="12" s="1"/>
  <c r="U121" i="12" s="1"/>
  <c r="Z43" i="12"/>
  <c r="S43" i="12" s="1"/>
  <c r="T43" i="12" s="1"/>
  <c r="U43" i="12" s="1"/>
  <c r="Z96" i="12"/>
  <c r="S96" i="12" s="1"/>
  <c r="Z87" i="12"/>
  <c r="S87" i="12" s="1"/>
  <c r="T87" i="12" s="1"/>
  <c r="U87" i="12" s="1"/>
  <c r="Z37" i="12"/>
  <c r="S37" i="12" s="1"/>
  <c r="T37" i="12" s="1"/>
  <c r="U37" i="12" s="1"/>
  <c r="Z113" i="12"/>
  <c r="S113" i="12" s="1"/>
  <c r="T113" i="12" s="1"/>
  <c r="U113" i="12" s="1"/>
  <c r="Z40" i="12"/>
  <c r="S40" i="12" s="1"/>
  <c r="Z35" i="12"/>
  <c r="S35" i="12" s="1"/>
  <c r="T35" i="12" s="1"/>
  <c r="U35" i="12" s="1"/>
  <c r="Z101" i="12"/>
  <c r="S101" i="12" s="1"/>
  <c r="Z90" i="12"/>
  <c r="S90" i="12" s="1"/>
  <c r="T90" i="12" s="1"/>
  <c r="U90" i="12" s="1"/>
  <c r="Z99" i="12"/>
  <c r="S99" i="12" s="1"/>
  <c r="T99" i="12" s="1"/>
  <c r="U99" i="12" s="1"/>
  <c r="Z34" i="12"/>
  <c r="S34" i="12" s="1"/>
  <c r="T34" i="12" s="1"/>
  <c r="U34" i="12" s="1"/>
  <c r="Z93" i="12"/>
  <c r="S93" i="12" s="1"/>
  <c r="T93" i="12" s="1"/>
  <c r="U93" i="12" s="1"/>
  <c r="Z135" i="12"/>
  <c r="S135" i="12" s="1"/>
  <c r="T135" i="12" s="1"/>
  <c r="U135" i="12" s="1"/>
  <c r="P21" i="17"/>
  <c r="C29" i="17"/>
  <c r="A32" i="17"/>
  <c r="L18" i="11"/>
  <c r="A24" i="17"/>
  <c r="C23" i="17"/>
  <c r="O25" i="17"/>
  <c r="Z32" i="12"/>
  <c r="S32" i="12" s="1"/>
  <c r="Z19" i="12"/>
  <c r="S19" i="12" s="1"/>
  <c r="T19" i="12" s="1"/>
  <c r="U19" i="12" s="1"/>
  <c r="Z23" i="12"/>
  <c r="S23" i="12" s="1"/>
  <c r="T23" i="12" s="1"/>
  <c r="U23" i="12" s="1"/>
  <c r="Z27" i="12"/>
  <c r="S27" i="12" s="1"/>
  <c r="T27" i="12" s="1"/>
  <c r="U27" i="12" s="1"/>
  <c r="Z20" i="12"/>
  <c r="S20" i="12" s="1"/>
  <c r="T20" i="12" s="1"/>
  <c r="U20" i="12" s="1"/>
  <c r="Z30" i="12"/>
  <c r="S30" i="12" s="1"/>
  <c r="T30" i="12" s="1"/>
  <c r="U30" i="12" s="1"/>
  <c r="Z24" i="12"/>
  <c r="S24" i="12" s="1"/>
  <c r="T24" i="12" s="1"/>
  <c r="U24" i="12" s="1"/>
  <c r="Z22" i="12"/>
  <c r="S22" i="12" s="1"/>
  <c r="T22" i="12" s="1"/>
  <c r="U22" i="12" s="1"/>
  <c r="Z17" i="12"/>
  <c r="S17" i="12" s="1"/>
  <c r="Z28" i="12"/>
  <c r="S28" i="12" s="1"/>
  <c r="T28" i="12" s="1"/>
  <c r="U28" i="12" s="1"/>
  <c r="Z13" i="12"/>
  <c r="T227" i="16"/>
  <c r="Z11" i="12"/>
  <c r="S11" i="12" s="1"/>
  <c r="T11" i="12" s="1"/>
  <c r="Z29" i="12"/>
  <c r="S29" i="12" s="1"/>
  <c r="T29" i="12" s="1"/>
  <c r="U29" i="12" s="1"/>
  <c r="Z31" i="12"/>
  <c r="S31" i="12" s="1"/>
  <c r="Z33" i="12"/>
  <c r="S33" i="12" s="1"/>
  <c r="T33" i="12" s="1"/>
  <c r="U33" i="12" s="1"/>
  <c r="Z26" i="12"/>
  <c r="S26" i="12" s="1"/>
  <c r="Z25" i="12"/>
  <c r="S25" i="12" s="1"/>
  <c r="T25" i="12" s="1"/>
  <c r="U25" i="12" s="1"/>
  <c r="Z18" i="12"/>
  <c r="S18" i="12" s="1"/>
  <c r="T18" i="12" s="1"/>
  <c r="U18" i="12" s="1"/>
  <c r="Z21" i="12"/>
  <c r="S21" i="12" s="1"/>
  <c r="T21" i="12" s="1"/>
  <c r="U21" i="12" s="1"/>
  <c r="S108" i="16"/>
  <c r="C26" i="13"/>
  <c r="C32" i="13"/>
  <c r="Q10" i="11"/>
  <c r="S10" i="11" s="1"/>
  <c r="U10" i="11" s="1"/>
  <c r="W10" i="11" s="1"/>
  <c r="Y10" i="11" s="1"/>
  <c r="AA10" i="11" s="1"/>
  <c r="AC10" i="11" s="1"/>
  <c r="AE10" i="11" s="1"/>
  <c r="H13" i="11"/>
  <c r="C23" i="13"/>
  <c r="G13" i="11"/>
  <c r="R10" i="11"/>
  <c r="T10" i="11" s="1"/>
  <c r="V10" i="11" s="1"/>
  <c r="X10" i="11" s="1"/>
  <c r="Z10" i="11" s="1"/>
  <c r="AB10" i="11" s="1"/>
  <c r="AD10" i="11" s="1"/>
  <c r="C27" i="13"/>
  <c r="C17" i="13"/>
  <c r="B13" i="11"/>
  <c r="I13" i="11"/>
  <c r="C11" i="13"/>
  <c r="J13" i="11"/>
  <c r="F13" i="11"/>
  <c r="C18" i="13"/>
  <c r="C24" i="13"/>
  <c r="C47" i="17"/>
  <c r="A48" i="17"/>
  <c r="C25" i="13"/>
  <c r="C6" i="17"/>
  <c r="A7" i="17"/>
  <c r="C7" i="17" s="1"/>
  <c r="R21" i="17"/>
  <c r="C41" i="17"/>
  <c r="A42" i="17"/>
  <c r="A18" i="17"/>
  <c r="C17" i="17"/>
  <c r="E20" i="11" l="1"/>
  <c r="E23" i="11" s="1"/>
  <c r="F20" i="11"/>
  <c r="F23" i="11" s="1"/>
  <c r="D17" i="12"/>
  <c r="D18" i="12" s="1"/>
  <c r="D19" i="12" s="1"/>
  <c r="D20" i="12" s="1"/>
  <c r="D21" i="12" s="1"/>
  <c r="D22" i="12" s="1"/>
  <c r="D23" i="12" s="1"/>
  <c r="D24" i="12" s="1"/>
  <c r="D25" i="12" s="1"/>
  <c r="D26" i="12" s="1"/>
  <c r="D27" i="12" s="1"/>
  <c r="D28" i="12" s="1"/>
  <c r="K14" i="12"/>
  <c r="B14" i="13" s="1"/>
  <c r="C15" i="12"/>
  <c r="B20" i="11"/>
  <c r="V13" i="11"/>
  <c r="AE12" i="11"/>
  <c r="AA11" i="11"/>
  <c r="AE13" i="11"/>
  <c r="AA12" i="11"/>
  <c r="Z12" i="11"/>
  <c r="AD13" i="11"/>
  <c r="AC13" i="11"/>
  <c r="Y12" i="11"/>
  <c r="AB13" i="11"/>
  <c r="Z13" i="11"/>
  <c r="Y11" i="11"/>
  <c r="X12" i="11"/>
  <c r="Y13" i="11"/>
  <c r="X11" i="11"/>
  <c r="X13" i="11"/>
  <c r="AD12" i="11"/>
  <c r="AC12" i="11"/>
  <c r="AB12" i="11"/>
  <c r="AA13" i="11"/>
  <c r="AE11" i="11"/>
  <c r="AD11" i="11"/>
  <c r="AC11" i="11"/>
  <c r="Z11" i="11"/>
  <c r="AB11" i="11"/>
  <c r="H20" i="11"/>
  <c r="V26" i="12"/>
  <c r="M21" i="11"/>
  <c r="H23" i="11"/>
  <c r="G23" i="11"/>
  <c r="A32" i="11"/>
  <c r="F86" i="12"/>
  <c r="F87" i="12" s="1"/>
  <c r="F88" i="12" s="1"/>
  <c r="F89" i="12" s="1"/>
  <c r="F90" i="12" s="1"/>
  <c r="F91" i="12" s="1"/>
  <c r="F92" i="12" s="1"/>
  <c r="F93" i="12" s="1"/>
  <c r="F94" i="12" s="1"/>
  <c r="F95" i="12" s="1"/>
  <c r="F96" i="12" s="1"/>
  <c r="F97" i="12" s="1"/>
  <c r="F98" i="12" s="1"/>
  <c r="F99" i="12" s="1"/>
  <c r="F100" i="12" s="1"/>
  <c r="F101" i="12" s="1"/>
  <c r="F102" i="12" s="1"/>
  <c r="F103" i="12" s="1"/>
  <c r="F104" i="12" s="1"/>
  <c r="F105" i="12" s="1"/>
  <c r="F106" i="12" s="1"/>
  <c r="F107" i="12" s="1"/>
  <c r="F108" i="12" s="1"/>
  <c r="F109" i="12" s="1"/>
  <c r="F110" i="12" s="1"/>
  <c r="F111" i="12" s="1"/>
  <c r="F112" i="12" s="1"/>
  <c r="F113" i="12" s="1"/>
  <c r="F114" i="12" s="1"/>
  <c r="F115" i="12" s="1"/>
  <c r="F116" i="12" s="1"/>
  <c r="F117" i="12" s="1"/>
  <c r="F118" i="12" s="1"/>
  <c r="F119" i="12" s="1"/>
  <c r="F120" i="12" s="1"/>
  <c r="F121" i="12" s="1"/>
  <c r="F122" i="12" s="1"/>
  <c r="F123" i="12" s="1"/>
  <c r="F124" i="12" s="1"/>
  <c r="F125" i="12" s="1"/>
  <c r="F126" i="12" s="1"/>
  <c r="F127" i="12" s="1"/>
  <c r="F128" i="12" s="1"/>
  <c r="F129" i="12" s="1"/>
  <c r="F130" i="12" s="1"/>
  <c r="F131" i="12" s="1"/>
  <c r="F132" i="12" s="1"/>
  <c r="F133" i="12" s="1"/>
  <c r="F134" i="12" s="1"/>
  <c r="F135" i="12" s="1"/>
  <c r="F136" i="12" s="1"/>
  <c r="F137" i="12" s="1"/>
  <c r="F138" i="12" s="1"/>
  <c r="F139" i="12" s="1"/>
  <c r="F140" i="12" s="1"/>
  <c r="F141" i="12" s="1"/>
  <c r="F142" i="12" s="1"/>
  <c r="F143" i="12" s="1"/>
  <c r="F144" i="12" s="1"/>
  <c r="F145" i="12" s="1"/>
  <c r="F146" i="12" s="1"/>
  <c r="F147" i="12" s="1"/>
  <c r="F148" i="12" s="1"/>
  <c r="F149" i="12" s="1"/>
  <c r="F150" i="12" s="1"/>
  <c r="F151" i="12" s="1"/>
  <c r="F152" i="12" s="1"/>
  <c r="F153" i="12" s="1"/>
  <c r="F154" i="12" s="1"/>
  <c r="F155" i="12" s="1"/>
  <c r="F156" i="12" s="1"/>
  <c r="F157" i="12" s="1"/>
  <c r="F158" i="12" s="1"/>
  <c r="F159" i="12" s="1"/>
  <c r="F160" i="12" s="1"/>
  <c r="F161" i="12" s="1"/>
  <c r="F162" i="12" s="1"/>
  <c r="F163" i="12" s="1"/>
  <c r="F164" i="12" s="1"/>
  <c r="G86" i="12"/>
  <c r="G87" i="12" s="1"/>
  <c r="G88" i="12" s="1"/>
  <c r="G89" i="12" s="1"/>
  <c r="G90" i="12" s="1"/>
  <c r="G91" i="12" s="1"/>
  <c r="G92" i="12" s="1"/>
  <c r="G93" i="12" s="1"/>
  <c r="G94" i="12" s="1"/>
  <c r="G95" i="12" s="1"/>
  <c r="G96" i="12" s="1"/>
  <c r="G97" i="12" s="1"/>
  <c r="G98" i="12" s="1"/>
  <c r="G99" i="12" s="1"/>
  <c r="G100" i="12" s="1"/>
  <c r="G101" i="12" s="1"/>
  <c r="G102" i="12" s="1"/>
  <c r="G103" i="12" s="1"/>
  <c r="G104" i="12" s="1"/>
  <c r="G105" i="12" s="1"/>
  <c r="G106" i="12" s="1"/>
  <c r="G107" i="12" s="1"/>
  <c r="G108" i="12" s="1"/>
  <c r="G109" i="12" s="1"/>
  <c r="G110" i="12" s="1"/>
  <c r="G111" i="12" s="1"/>
  <c r="G112" i="12" s="1"/>
  <c r="G113" i="12" s="1"/>
  <c r="G114" i="12" s="1"/>
  <c r="G115" i="12" s="1"/>
  <c r="G116" i="12" s="1"/>
  <c r="G117" i="12" s="1"/>
  <c r="G118" i="12" s="1"/>
  <c r="G119" i="12" s="1"/>
  <c r="G120" i="12" s="1"/>
  <c r="G121" i="12" s="1"/>
  <c r="G122" i="12" s="1"/>
  <c r="G123" i="12" s="1"/>
  <c r="G124" i="12" s="1"/>
  <c r="G125" i="12" s="1"/>
  <c r="G126" i="12" s="1"/>
  <c r="G127" i="12" s="1"/>
  <c r="G128" i="12" s="1"/>
  <c r="G129" i="12" s="1"/>
  <c r="G130" i="12" s="1"/>
  <c r="G131" i="12" s="1"/>
  <c r="G132" i="12" s="1"/>
  <c r="G133" i="12" s="1"/>
  <c r="G134" i="12" s="1"/>
  <c r="G135" i="12" s="1"/>
  <c r="G136" i="12" s="1"/>
  <c r="G137" i="12" s="1"/>
  <c r="G138" i="12" s="1"/>
  <c r="G139" i="12" s="1"/>
  <c r="G140" i="12" s="1"/>
  <c r="G141" i="12" s="1"/>
  <c r="G142" i="12" s="1"/>
  <c r="G143" i="12" s="1"/>
  <c r="G144" i="12" s="1"/>
  <c r="G145" i="12" s="1"/>
  <c r="G146" i="12" s="1"/>
  <c r="G147" i="12" s="1"/>
  <c r="G148" i="12" s="1"/>
  <c r="G149" i="12" s="1"/>
  <c r="G150" i="12" s="1"/>
  <c r="G151" i="12" s="1"/>
  <c r="G152" i="12" s="1"/>
  <c r="G153" i="12" s="1"/>
  <c r="G154" i="12" s="1"/>
  <c r="G155" i="12" s="1"/>
  <c r="G156" i="12" s="1"/>
  <c r="G157" i="12" s="1"/>
  <c r="G158" i="12" s="1"/>
  <c r="G159" i="12" s="1"/>
  <c r="G160" i="12" s="1"/>
  <c r="G161" i="12" s="1"/>
  <c r="G162" i="12" s="1"/>
  <c r="G163" i="12" s="1"/>
  <c r="G164" i="12" s="1"/>
  <c r="G165" i="12" s="1"/>
  <c r="G166" i="12" s="1"/>
  <c r="G167" i="12" s="1"/>
  <c r="G168" i="12" s="1"/>
  <c r="G169" i="12" s="1"/>
  <c r="G170" i="12" s="1"/>
  <c r="G171" i="12" s="1"/>
  <c r="G172" i="12" s="1"/>
  <c r="G173" i="12" s="1"/>
  <c r="G174" i="12" s="1"/>
  <c r="G175" i="12" s="1"/>
  <c r="G176" i="12" s="1"/>
  <c r="G177" i="12" s="1"/>
  <c r="G178" i="12" s="1"/>
  <c r="G179" i="12" s="1"/>
  <c r="G180" i="12" s="1"/>
  <c r="G181" i="12" s="1"/>
  <c r="G182" i="12" s="1"/>
  <c r="G183" i="12" s="1"/>
  <c r="G184" i="12" s="1"/>
  <c r="G185" i="12" s="1"/>
  <c r="G186" i="12" s="1"/>
  <c r="G187" i="12" s="1"/>
  <c r="G188" i="12" s="1"/>
  <c r="G189" i="12" s="1"/>
  <c r="G190" i="12" s="1"/>
  <c r="G191" i="12" s="1"/>
  <c r="G192" i="12" s="1"/>
  <c r="G193" i="12" s="1"/>
  <c r="G194" i="12" s="1"/>
  <c r="G195" i="12" s="1"/>
  <c r="G196" i="12" s="1"/>
  <c r="G197" i="12" s="1"/>
  <c r="G198" i="12" s="1"/>
  <c r="G199" i="12" s="1"/>
  <c r="G200" i="12" s="1"/>
  <c r="G201" i="12" s="1"/>
  <c r="G202" i="12" s="1"/>
  <c r="G203" i="12" s="1"/>
  <c r="G204" i="12" s="1"/>
  <c r="G205" i="12" s="1"/>
  <c r="G206" i="12" s="1"/>
  <c r="G207" i="12" s="1"/>
  <c r="G208" i="12" s="1"/>
  <c r="G209" i="12" s="1"/>
  <c r="G210" i="12" s="1"/>
  <c r="G211" i="12" s="1"/>
  <c r="G212" i="12" s="1"/>
  <c r="G213" i="12" s="1"/>
  <c r="G214" i="12" s="1"/>
  <c r="G215" i="12" s="1"/>
  <c r="G216" i="12" s="1"/>
  <c r="G217" i="12" s="1"/>
  <c r="G218" i="12" s="1"/>
  <c r="G219" i="12" s="1"/>
  <c r="G220" i="12" s="1"/>
  <c r="G221" i="12" s="1"/>
  <c r="G222" i="12" s="1"/>
  <c r="G223" i="12" s="1"/>
  <c r="G224" i="12" s="1"/>
  <c r="G225" i="12" s="1"/>
  <c r="G226" i="12" s="1"/>
  <c r="E34" i="12"/>
  <c r="A25" i="17"/>
  <c r="C24" i="17"/>
  <c r="A33" i="17"/>
  <c r="C32" i="17"/>
  <c r="D13" i="11"/>
  <c r="R11" i="11"/>
  <c r="P11" i="11"/>
  <c r="S13" i="11"/>
  <c r="AK12" i="11"/>
  <c r="T11" i="11"/>
  <c r="U13" i="11"/>
  <c r="S11" i="11"/>
  <c r="P13" i="11"/>
  <c r="U12" i="11"/>
  <c r="V11" i="11"/>
  <c r="T12" i="11"/>
  <c r="P12" i="11"/>
  <c r="W12" i="11"/>
  <c r="W13" i="11"/>
  <c r="V12" i="11"/>
  <c r="W11" i="11"/>
  <c r="U11" i="11"/>
  <c r="S12" i="11"/>
  <c r="T13" i="11"/>
  <c r="R13" i="11"/>
  <c r="Q13" i="11"/>
  <c r="AK11" i="11"/>
  <c r="Q11" i="11"/>
  <c r="AK13" i="11"/>
  <c r="Q12" i="11"/>
  <c r="R12" i="11"/>
  <c r="Q22" i="17"/>
  <c r="P26" i="17"/>
  <c r="P22" i="17"/>
  <c r="R26" i="17"/>
  <c r="A49" i="17"/>
  <c r="C49" i="17" s="1"/>
  <c r="C48" i="17"/>
  <c r="C18" i="17"/>
  <c r="A19" i="17"/>
  <c r="R22" i="17"/>
  <c r="C42" i="17"/>
  <c r="A43" i="17"/>
  <c r="C43" i="17" s="1"/>
  <c r="Q26" i="17"/>
  <c r="I14" i="12" l="1"/>
  <c r="C16" i="12"/>
  <c r="K15" i="12"/>
  <c r="B15" i="13" s="1"/>
  <c r="A35" i="11"/>
  <c r="V31" i="12"/>
  <c r="M24" i="11"/>
  <c r="C26" i="11"/>
  <c r="F165" i="12"/>
  <c r="E35" i="12"/>
  <c r="D29" i="12"/>
  <c r="D30" i="12" s="1"/>
  <c r="D31" i="12" s="1"/>
  <c r="I17" i="12"/>
  <c r="C33" i="17"/>
  <c r="A34" i="17"/>
  <c r="C34" i="17" s="1"/>
  <c r="C25" i="17"/>
  <c r="A26" i="17"/>
  <c r="C26" i="17" s="1"/>
  <c r="A20" i="17"/>
  <c r="C20" i="17" s="1"/>
  <c r="C19" i="17"/>
  <c r="O26" i="17"/>
  <c r="V27" i="17" s="1"/>
  <c r="T16" i="17" s="1"/>
  <c r="K16" i="12" l="1"/>
  <c r="B16" i="13" s="1"/>
  <c r="C17" i="12"/>
  <c r="A38" i="11"/>
  <c r="V45" i="12"/>
  <c r="V58" i="12" s="1"/>
  <c r="V61" i="12" s="1"/>
  <c r="V79" i="12" s="1"/>
  <c r="V85" i="12" s="1"/>
  <c r="V96" i="12" s="1"/>
  <c r="C29" i="11"/>
  <c r="B26" i="11" s="1"/>
  <c r="M27" i="11"/>
  <c r="F26" i="11"/>
  <c r="E26" i="11"/>
  <c r="H26" i="11"/>
  <c r="G26" i="11"/>
  <c r="B23" i="11"/>
  <c r="F166" i="12"/>
  <c r="E36" i="12"/>
  <c r="D32" i="12"/>
  <c r="I26" i="12"/>
  <c r="C18" i="12" l="1"/>
  <c r="K17" i="12"/>
  <c r="M30" i="11"/>
  <c r="AE21" i="11"/>
  <c r="AC21" i="11"/>
  <c r="AA21" i="11"/>
  <c r="Z21" i="11"/>
  <c r="Y21" i="11"/>
  <c r="X21" i="11"/>
  <c r="AD21" i="11"/>
  <c r="AB21" i="11"/>
  <c r="AE24" i="11"/>
  <c r="AC24" i="11"/>
  <c r="AA24" i="11"/>
  <c r="Z24" i="11"/>
  <c r="Y24" i="11"/>
  <c r="X24" i="11"/>
  <c r="AD24" i="11"/>
  <c r="AB24" i="11"/>
  <c r="C35" i="11"/>
  <c r="H35" i="11" s="1"/>
  <c r="C32" i="11"/>
  <c r="H32" i="11" s="1"/>
  <c r="E29" i="11"/>
  <c r="F29" i="11"/>
  <c r="H29" i="11"/>
  <c r="G29" i="11"/>
  <c r="T21" i="11"/>
  <c r="R21" i="11"/>
  <c r="S21" i="11"/>
  <c r="W21" i="11"/>
  <c r="V21" i="11"/>
  <c r="U21" i="11"/>
  <c r="Q21" i="11"/>
  <c r="AK21" i="11"/>
  <c r="AK22" i="11" s="1"/>
  <c r="P22" i="11"/>
  <c r="AK24" i="11"/>
  <c r="AK25" i="11" s="1"/>
  <c r="P25" i="11"/>
  <c r="W24" i="11"/>
  <c r="V24" i="11"/>
  <c r="U24" i="11"/>
  <c r="R24" i="11"/>
  <c r="T24" i="11"/>
  <c r="S24" i="11"/>
  <c r="A41" i="11"/>
  <c r="C38" i="11"/>
  <c r="M36" i="11"/>
  <c r="M33" i="11"/>
  <c r="J23" i="11"/>
  <c r="V101" i="12"/>
  <c r="V109" i="12" s="1"/>
  <c r="V125" i="12" s="1"/>
  <c r="V142" i="12" s="1"/>
  <c r="V148" i="12" s="1"/>
  <c r="V152" i="12" s="1"/>
  <c r="V203" i="12" s="1"/>
  <c r="V212" i="12" s="1"/>
  <c r="V225" i="12" s="1"/>
  <c r="E37" i="12"/>
  <c r="D33" i="12"/>
  <c r="K18" i="12" l="1"/>
  <c r="B18" i="13" s="1"/>
  <c r="C19" i="12"/>
  <c r="B17" i="13"/>
  <c r="L21" i="11"/>
  <c r="B35" i="11"/>
  <c r="AC33" i="11" s="1"/>
  <c r="E32" i="11"/>
  <c r="E35" i="11" s="1"/>
  <c r="E38" i="11" s="1"/>
  <c r="G35" i="11"/>
  <c r="B29" i="11"/>
  <c r="T27" i="11" s="1"/>
  <c r="B32" i="11"/>
  <c r="G32" i="11"/>
  <c r="Q22" i="11"/>
  <c r="R22" i="11" s="1"/>
  <c r="S22" i="11" s="1"/>
  <c r="T22" i="11" s="1"/>
  <c r="Q25" i="11"/>
  <c r="R25" i="11" s="1"/>
  <c r="M39" i="11"/>
  <c r="C41" i="11"/>
  <c r="B38" i="11" s="1"/>
  <c r="A44" i="11"/>
  <c r="H38" i="11"/>
  <c r="G38" i="11"/>
  <c r="F32" i="11"/>
  <c r="J29" i="11" s="1"/>
  <c r="J26" i="11"/>
  <c r="F167" i="12"/>
  <c r="E38" i="12"/>
  <c r="D34" i="12"/>
  <c r="C20" i="12" l="1"/>
  <c r="K19" i="12"/>
  <c r="B19" i="13" s="1"/>
  <c r="AE33" i="11"/>
  <c r="P34" i="11"/>
  <c r="AB33" i="11"/>
  <c r="AD33" i="11"/>
  <c r="X33" i="11"/>
  <c r="Y33" i="11"/>
  <c r="W33" i="11"/>
  <c r="Z33" i="11"/>
  <c r="AK33" i="11"/>
  <c r="AK34" i="11" s="1"/>
  <c r="AA33" i="11"/>
  <c r="AE36" i="11"/>
  <c r="AC36" i="11"/>
  <c r="AA36" i="11"/>
  <c r="Z36" i="11"/>
  <c r="Y36" i="11"/>
  <c r="X36" i="11"/>
  <c r="AD36" i="11"/>
  <c r="AB36" i="11"/>
  <c r="P31" i="11"/>
  <c r="AE30" i="11"/>
  <c r="AC30" i="11"/>
  <c r="AA30" i="11"/>
  <c r="Z30" i="11"/>
  <c r="Y30" i="11"/>
  <c r="X30" i="11"/>
  <c r="AB30" i="11"/>
  <c r="AD30" i="11"/>
  <c r="V27" i="11"/>
  <c r="AE27" i="11"/>
  <c r="AC27" i="11"/>
  <c r="AA27" i="11"/>
  <c r="Z27" i="11"/>
  <c r="Y27" i="11"/>
  <c r="X27" i="11"/>
  <c r="AD27" i="11"/>
  <c r="AB27" i="11"/>
  <c r="W27" i="11"/>
  <c r="AK27" i="11"/>
  <c r="AK28" i="11" s="1"/>
  <c r="P28" i="11"/>
  <c r="U27" i="11"/>
  <c r="W30" i="11"/>
  <c r="AK30" i="11"/>
  <c r="AK31" i="11" s="1"/>
  <c r="A47" i="11"/>
  <c r="C44" i="11"/>
  <c r="B41" i="11" s="1"/>
  <c r="M42" i="11"/>
  <c r="E41" i="11"/>
  <c r="H41" i="11"/>
  <c r="G41" i="11"/>
  <c r="F35" i="11"/>
  <c r="J32" i="11" s="1"/>
  <c r="U22" i="11"/>
  <c r="S36" i="11"/>
  <c r="Q36" i="11"/>
  <c r="R36" i="11"/>
  <c r="AK36" i="11"/>
  <c r="AK37" i="11" s="1"/>
  <c r="P36" i="11"/>
  <c r="P37" i="11" s="1"/>
  <c r="S25" i="11"/>
  <c r="E39" i="12"/>
  <c r="D35" i="12"/>
  <c r="K20" i="12" l="1"/>
  <c r="B20" i="13" s="1"/>
  <c r="C21" i="12"/>
  <c r="Q34" i="11"/>
  <c r="R34" i="11" s="1"/>
  <c r="Q31" i="11"/>
  <c r="R31" i="11" s="1"/>
  <c r="S31" i="11" s="1"/>
  <c r="Q28" i="11"/>
  <c r="R28" i="11" s="1"/>
  <c r="S28" i="11" s="1"/>
  <c r="AE39" i="11"/>
  <c r="AD39" i="11"/>
  <c r="AC39" i="11"/>
  <c r="AA39" i="11"/>
  <c r="Z39" i="11"/>
  <c r="Y39" i="11"/>
  <c r="X39" i="11"/>
  <c r="AB39" i="11"/>
  <c r="F38" i="11"/>
  <c r="J35" i="11" s="1"/>
  <c r="T25" i="11"/>
  <c r="Q37" i="11"/>
  <c r="R37" i="11" s="1"/>
  <c r="S37" i="11" s="1"/>
  <c r="G44" i="11"/>
  <c r="E44" i="11"/>
  <c r="H44" i="11"/>
  <c r="AK39" i="11"/>
  <c r="AK40" i="11" s="1"/>
  <c r="W39" i="11"/>
  <c r="V39" i="11"/>
  <c r="P39" i="11"/>
  <c r="P40" i="11" s="1"/>
  <c r="A50" i="11"/>
  <c r="M45" i="11"/>
  <c r="C47" i="11"/>
  <c r="V22" i="11"/>
  <c r="F168" i="12"/>
  <c r="E40" i="12"/>
  <c r="D36" i="12"/>
  <c r="C22" i="12" l="1"/>
  <c r="K21" i="12"/>
  <c r="B21" i="13" s="1"/>
  <c r="Q40" i="11"/>
  <c r="T37" i="11"/>
  <c r="S34" i="11"/>
  <c r="U25" i="11"/>
  <c r="W22" i="11"/>
  <c r="X22" i="11" s="1"/>
  <c r="T28" i="11"/>
  <c r="T31" i="11"/>
  <c r="F41" i="11"/>
  <c r="J38" i="11" s="1"/>
  <c r="G47" i="11"/>
  <c r="E47" i="11"/>
  <c r="H47" i="11"/>
  <c r="B44" i="11"/>
  <c r="A53" i="11"/>
  <c r="M48" i="11"/>
  <c r="C50" i="11"/>
  <c r="E41" i="12"/>
  <c r="D37" i="12"/>
  <c r="C23" i="12" l="1"/>
  <c r="K22" i="12"/>
  <c r="B22" i="13" s="1"/>
  <c r="AE42" i="11"/>
  <c r="AD42" i="11"/>
  <c r="AC42" i="11"/>
  <c r="AA42" i="11"/>
  <c r="Z42" i="11"/>
  <c r="Y42" i="11"/>
  <c r="AB42" i="11"/>
  <c r="Y22" i="11"/>
  <c r="V25" i="11"/>
  <c r="F44" i="11"/>
  <c r="T34" i="11"/>
  <c r="U37" i="11"/>
  <c r="H50" i="11"/>
  <c r="G50" i="11"/>
  <c r="E50" i="11"/>
  <c r="T42" i="11"/>
  <c r="S42" i="11"/>
  <c r="R42" i="11"/>
  <c r="Q42" i="11"/>
  <c r="P42" i="11"/>
  <c r="P43" i="11" s="1"/>
  <c r="AK42" i="11"/>
  <c r="AK43" i="11" s="1"/>
  <c r="U31" i="11"/>
  <c r="A56" i="11"/>
  <c r="C53" i="11"/>
  <c r="M51" i="11"/>
  <c r="R40" i="11"/>
  <c r="U28" i="11"/>
  <c r="B47" i="11"/>
  <c r="F169" i="12"/>
  <c r="E42" i="12"/>
  <c r="E43" i="12" s="1"/>
  <c r="E44" i="12" s="1"/>
  <c r="E45" i="12" s="1"/>
  <c r="E46" i="12" s="1"/>
  <c r="I36" i="12"/>
  <c r="I32" i="12"/>
  <c r="D38" i="12"/>
  <c r="K23" i="12" l="1"/>
  <c r="B23" i="13" s="1"/>
  <c r="C24" i="12"/>
  <c r="AE45" i="11"/>
  <c r="AD45" i="11"/>
  <c r="AC45" i="11"/>
  <c r="AA45" i="11"/>
  <c r="Z45" i="11"/>
  <c r="AB45" i="11"/>
  <c r="Z22" i="11"/>
  <c r="Q43" i="11"/>
  <c r="T45" i="11"/>
  <c r="P45" i="11"/>
  <c r="P46" i="11" s="1"/>
  <c r="R45" i="11"/>
  <c r="Q45" i="11"/>
  <c r="S45" i="11"/>
  <c r="AK45" i="11"/>
  <c r="AK46" i="11" s="1"/>
  <c r="V45" i="11"/>
  <c r="U45" i="11"/>
  <c r="V37" i="11"/>
  <c r="V28" i="11"/>
  <c r="V31" i="11"/>
  <c r="U34" i="11"/>
  <c r="S40" i="11"/>
  <c r="F47" i="11"/>
  <c r="J41" i="11"/>
  <c r="G53" i="11"/>
  <c r="H53" i="11"/>
  <c r="E53" i="11"/>
  <c r="W25" i="11"/>
  <c r="X25" i="11" s="1"/>
  <c r="A59" i="11"/>
  <c r="C56" i="11"/>
  <c r="M54" i="11"/>
  <c r="B50" i="11"/>
  <c r="E47" i="12"/>
  <c r="H32" i="12"/>
  <c r="B32" i="12" s="1"/>
  <c r="T32" i="12" s="1"/>
  <c r="U32" i="12" s="1"/>
  <c r="H36" i="12"/>
  <c r="B36" i="12" s="1"/>
  <c r="T36" i="12" s="1"/>
  <c r="U36" i="12" s="1"/>
  <c r="H40" i="12"/>
  <c r="D39" i="12"/>
  <c r="K24" i="12" l="1"/>
  <c r="B24" i="13" s="1"/>
  <c r="C25" i="12"/>
  <c r="Y25" i="11"/>
  <c r="AE48" i="11"/>
  <c r="AD48" i="11"/>
  <c r="AC48" i="11"/>
  <c r="AA48" i="11"/>
  <c r="Z48" i="11"/>
  <c r="Y48" i="11"/>
  <c r="X48" i="11"/>
  <c r="AB48" i="11"/>
  <c r="AA22" i="11"/>
  <c r="Q46" i="11"/>
  <c r="R46" i="11" s="1"/>
  <c r="H56" i="11"/>
  <c r="G56" i="11"/>
  <c r="E56" i="11"/>
  <c r="W28" i="11"/>
  <c r="X28" i="11" s="1"/>
  <c r="F50" i="11"/>
  <c r="W37" i="11"/>
  <c r="X37" i="11" s="1"/>
  <c r="J44" i="11"/>
  <c r="A62" i="11"/>
  <c r="C59" i="11"/>
  <c r="B56" i="11" s="1"/>
  <c r="M57" i="11"/>
  <c r="B53" i="11"/>
  <c r="T40" i="11"/>
  <c r="W48" i="11"/>
  <c r="AK48" i="11"/>
  <c r="AK49" i="11" s="1"/>
  <c r="S48" i="11"/>
  <c r="R48" i="11"/>
  <c r="Q48" i="11"/>
  <c r="P48" i="11"/>
  <c r="P49" i="11" s="1"/>
  <c r="V34" i="11"/>
  <c r="R43" i="11"/>
  <c r="W31" i="11"/>
  <c r="X31" i="11" s="1"/>
  <c r="F170" i="12"/>
  <c r="F171" i="12" s="1"/>
  <c r="F172" i="12" s="1"/>
  <c r="F173" i="12" s="1"/>
  <c r="F174" i="12" s="1"/>
  <c r="F175" i="12" s="1"/>
  <c r="F176" i="12" s="1"/>
  <c r="F177" i="12" s="1"/>
  <c r="F178" i="12" s="1"/>
  <c r="E48" i="12"/>
  <c r="D40" i="12"/>
  <c r="K25" i="12" l="1"/>
  <c r="B25" i="13" s="1"/>
  <c r="C26" i="12"/>
  <c r="AE54" i="11"/>
  <c r="AD54" i="11"/>
  <c r="AC54" i="11"/>
  <c r="AA54" i="11"/>
  <c r="Z54" i="11"/>
  <c r="AB54" i="11"/>
  <c r="Z25" i="11"/>
  <c r="AE51" i="11"/>
  <c r="AD51" i="11"/>
  <c r="AC51" i="11"/>
  <c r="AA51" i="11"/>
  <c r="Z51" i="11"/>
  <c r="Y51" i="11"/>
  <c r="X51" i="11"/>
  <c r="AB51" i="11"/>
  <c r="AB22" i="11"/>
  <c r="Y37" i="11"/>
  <c r="Y28" i="11"/>
  <c r="Y31" i="11"/>
  <c r="Q49" i="11"/>
  <c r="R49" i="11" s="1"/>
  <c r="S49" i="11" s="1"/>
  <c r="Q54" i="11"/>
  <c r="AK54" i="11"/>
  <c r="AK55" i="11" s="1"/>
  <c r="V54" i="11"/>
  <c r="U54" i="11"/>
  <c r="T54" i="11"/>
  <c r="S54" i="11"/>
  <c r="R54" i="11"/>
  <c r="P54" i="11"/>
  <c r="P55" i="11" s="1"/>
  <c r="U40" i="11"/>
  <c r="V51" i="11"/>
  <c r="R51" i="11"/>
  <c r="Q51" i="11"/>
  <c r="P51" i="11"/>
  <c r="P52" i="11" s="1"/>
  <c r="AK51" i="11"/>
  <c r="AK52" i="11" s="1"/>
  <c r="W51" i="11"/>
  <c r="F53" i="11"/>
  <c r="J47" i="11"/>
  <c r="H59" i="11"/>
  <c r="G59" i="11"/>
  <c r="E59" i="11"/>
  <c r="S43" i="11"/>
  <c r="A65" i="11"/>
  <c r="C62" i="11"/>
  <c r="M60" i="11"/>
  <c r="S46" i="11"/>
  <c r="W34" i="11"/>
  <c r="X34" i="11" s="1"/>
  <c r="F179" i="12"/>
  <c r="H164" i="12"/>
  <c r="E49" i="12"/>
  <c r="D41" i="12"/>
  <c r="K26" i="12" l="1"/>
  <c r="C27" i="12"/>
  <c r="Y34" i="11"/>
  <c r="AC22" i="11"/>
  <c r="AA25" i="11"/>
  <c r="Z37" i="11"/>
  <c r="Z31" i="11"/>
  <c r="Z28" i="11"/>
  <c r="Q52" i="11"/>
  <c r="Q55" i="11"/>
  <c r="V40" i="11"/>
  <c r="A68" i="11"/>
  <c r="M63" i="11"/>
  <c r="C65" i="11"/>
  <c r="F56" i="11"/>
  <c r="J53" i="11" s="1"/>
  <c r="T49" i="11"/>
  <c r="J50" i="11"/>
  <c r="H62" i="11"/>
  <c r="G62" i="11"/>
  <c r="E62" i="11"/>
  <c r="T43" i="11"/>
  <c r="B59" i="11"/>
  <c r="T46" i="11"/>
  <c r="F180" i="12"/>
  <c r="E50" i="12"/>
  <c r="D42" i="12"/>
  <c r="D43" i="12" s="1"/>
  <c r="D44" i="12" s="1"/>
  <c r="D45" i="12" s="1"/>
  <c r="C28" i="12" l="1"/>
  <c r="K27" i="12"/>
  <c r="B27" i="13" s="1"/>
  <c r="B26" i="13"/>
  <c r="L24" i="11"/>
  <c r="AD22" i="11"/>
  <c r="Z34" i="11"/>
  <c r="AA28" i="11"/>
  <c r="AA31" i="11"/>
  <c r="AE57" i="11"/>
  <c r="AD57" i="11"/>
  <c r="AC57" i="11"/>
  <c r="AA57" i="11"/>
  <c r="Z57" i="11"/>
  <c r="Y57" i="11"/>
  <c r="X57" i="11"/>
  <c r="AB57" i="11"/>
  <c r="AA37" i="11"/>
  <c r="AB25" i="11"/>
  <c r="R52" i="11"/>
  <c r="H65" i="11"/>
  <c r="G65" i="11"/>
  <c r="E65" i="11"/>
  <c r="A71" i="11"/>
  <c r="M66" i="11"/>
  <c r="C68" i="11"/>
  <c r="B65" i="11" s="1"/>
  <c r="Q57" i="11"/>
  <c r="AK57" i="11"/>
  <c r="AK58" i="11" s="1"/>
  <c r="T57" i="11"/>
  <c r="W57" i="11"/>
  <c r="V57" i="11"/>
  <c r="U57" i="11"/>
  <c r="P57" i="11"/>
  <c r="P58" i="11" s="1"/>
  <c r="W40" i="11"/>
  <c r="X40" i="11" s="1"/>
  <c r="U46" i="11"/>
  <c r="B62" i="11"/>
  <c r="U43" i="11"/>
  <c r="U49" i="11"/>
  <c r="R55" i="11"/>
  <c r="F59" i="11"/>
  <c r="F181" i="12"/>
  <c r="E51" i="12"/>
  <c r="D46" i="12"/>
  <c r="I31" i="12"/>
  <c r="C29" i="12" l="1"/>
  <c r="K28" i="12"/>
  <c r="B28" i="13" s="1"/>
  <c r="AC25" i="11"/>
  <c r="AB31" i="11"/>
  <c r="AE63" i="11"/>
  <c r="AD63" i="11"/>
  <c r="AC63" i="11"/>
  <c r="AB63" i="11"/>
  <c r="AA63" i="11"/>
  <c r="Z63" i="11"/>
  <c r="Y63" i="11"/>
  <c r="X63" i="11"/>
  <c r="AB28" i="11"/>
  <c r="AB37" i="11"/>
  <c r="AE60" i="11"/>
  <c r="AD60" i="11"/>
  <c r="AC60" i="11"/>
  <c r="AA60" i="11"/>
  <c r="Z60" i="11"/>
  <c r="AB60" i="11"/>
  <c r="AA34" i="11"/>
  <c r="Y40" i="11"/>
  <c r="AE22" i="11"/>
  <c r="R63" i="11"/>
  <c r="Q63" i="11"/>
  <c r="P63" i="11"/>
  <c r="P64" i="11" s="1"/>
  <c r="AK63" i="11"/>
  <c r="AK64" i="11" s="1"/>
  <c r="A74" i="11"/>
  <c r="M69" i="11"/>
  <c r="C71" i="11"/>
  <c r="B68" i="11" s="1"/>
  <c r="F62" i="11"/>
  <c r="AK60" i="11"/>
  <c r="AK61" i="11" s="1"/>
  <c r="W60" i="11"/>
  <c r="U60" i="11"/>
  <c r="S60" i="11"/>
  <c r="Q60" i="11"/>
  <c r="P60" i="11"/>
  <c r="P61" i="11" s="1"/>
  <c r="V60" i="11"/>
  <c r="T60" i="11"/>
  <c r="R60" i="11"/>
  <c r="Q58" i="11"/>
  <c r="J56" i="11"/>
  <c r="V46" i="11"/>
  <c r="S55" i="11"/>
  <c r="V49" i="11"/>
  <c r="S52" i="11"/>
  <c r="E68" i="11"/>
  <c r="H68" i="11"/>
  <c r="G68" i="11"/>
  <c r="V43" i="11"/>
  <c r="F182" i="12"/>
  <c r="E52" i="12"/>
  <c r="D47" i="12"/>
  <c r="K29" i="12" l="1"/>
  <c r="B29" i="13" s="1"/>
  <c r="C30" i="12"/>
  <c r="AC37" i="11"/>
  <c r="AC28" i="11"/>
  <c r="AE66" i="11"/>
  <c r="AD66" i="11"/>
  <c r="AC66" i="11"/>
  <c r="AB66" i="11"/>
  <c r="Y66" i="11"/>
  <c r="X66" i="11"/>
  <c r="AC31" i="11"/>
  <c r="AD25" i="11"/>
  <c r="Z40" i="11"/>
  <c r="AB34" i="11"/>
  <c r="Q64" i="11"/>
  <c r="R64" i="11" s="1"/>
  <c r="Q61" i="11"/>
  <c r="AK66" i="11"/>
  <c r="AK67" i="11" s="1"/>
  <c r="W66" i="11"/>
  <c r="U66" i="11"/>
  <c r="P66" i="11"/>
  <c r="P67" i="11" s="1"/>
  <c r="V66" i="11"/>
  <c r="T66" i="11"/>
  <c r="R58" i="11"/>
  <c r="M72" i="11"/>
  <c r="C74" i="11"/>
  <c r="W43" i="11"/>
  <c r="X43" i="11" s="1"/>
  <c r="W49" i="11"/>
  <c r="X49" i="11" s="1"/>
  <c r="T52" i="11"/>
  <c r="F65" i="11"/>
  <c r="T55" i="11"/>
  <c r="J59" i="11"/>
  <c r="W46" i="11"/>
  <c r="X46" i="11" s="1"/>
  <c r="H71" i="11"/>
  <c r="G71" i="11"/>
  <c r="E71" i="11"/>
  <c r="F183" i="12"/>
  <c r="E53" i="12"/>
  <c r="D48" i="12"/>
  <c r="K30" i="12" l="1"/>
  <c r="B30" i="13" s="1"/>
  <c r="C31" i="12"/>
  <c r="AA40" i="11"/>
  <c r="AE25" i="11"/>
  <c r="Y49" i="11"/>
  <c r="AD31" i="11"/>
  <c r="Y43" i="11"/>
  <c r="AD28" i="11"/>
  <c r="AD37" i="11"/>
  <c r="Y46" i="11"/>
  <c r="AC34" i="11"/>
  <c r="Q67" i="11"/>
  <c r="R67" i="11" s="1"/>
  <c r="S64" i="11"/>
  <c r="H74" i="11"/>
  <c r="G74" i="11"/>
  <c r="E74" i="11"/>
  <c r="B74" i="11"/>
  <c r="I74" i="11"/>
  <c r="R61" i="11"/>
  <c r="J62" i="11"/>
  <c r="S58" i="11"/>
  <c r="U55" i="11"/>
  <c r="U52" i="11"/>
  <c r="B71" i="11"/>
  <c r="F68" i="11"/>
  <c r="F184" i="12"/>
  <c r="E54" i="12"/>
  <c r="D49" i="12"/>
  <c r="C32" i="12" l="1"/>
  <c r="K31" i="12"/>
  <c r="AE69" i="11"/>
  <c r="AD69" i="11"/>
  <c r="AC69" i="11"/>
  <c r="AB69" i="11"/>
  <c r="X69" i="11"/>
  <c r="AE31" i="11"/>
  <c r="AD34" i="11"/>
  <c r="AE37" i="11"/>
  <c r="AB40" i="11"/>
  <c r="Z49" i="11"/>
  <c r="AE72" i="11"/>
  <c r="AD72" i="11"/>
  <c r="AC72" i="11"/>
  <c r="AB72" i="11"/>
  <c r="Z72" i="11"/>
  <c r="Y72" i="11"/>
  <c r="X72" i="11"/>
  <c r="AE28" i="11"/>
  <c r="Z43" i="11"/>
  <c r="Z46" i="11"/>
  <c r="T64" i="11"/>
  <c r="T58" i="11"/>
  <c r="S61" i="11"/>
  <c r="V55" i="11"/>
  <c r="F71" i="11"/>
  <c r="U69" i="11"/>
  <c r="T69" i="11"/>
  <c r="S69" i="11"/>
  <c r="R69" i="11"/>
  <c r="Q69" i="11"/>
  <c r="P69" i="11"/>
  <c r="P70" i="11" s="1"/>
  <c r="AK69" i="11"/>
  <c r="AK70" i="11" s="1"/>
  <c r="W69" i="11"/>
  <c r="V69" i="11"/>
  <c r="Q72" i="11"/>
  <c r="P72" i="11"/>
  <c r="P73" i="11" s="1"/>
  <c r="AK72" i="11"/>
  <c r="AK73" i="11" s="1"/>
  <c r="W72" i="11"/>
  <c r="V72" i="11"/>
  <c r="U72" i="11"/>
  <c r="T72" i="11"/>
  <c r="S72" i="11"/>
  <c r="R72" i="11"/>
  <c r="V52" i="11"/>
  <c r="I20" i="11"/>
  <c r="J20" i="11"/>
  <c r="J65" i="11"/>
  <c r="S67" i="11"/>
  <c r="F185" i="12"/>
  <c r="E55" i="12"/>
  <c r="I46" i="12"/>
  <c r="I50" i="12"/>
  <c r="D50" i="12"/>
  <c r="B31" i="13" l="1"/>
  <c r="L27" i="11"/>
  <c r="C33" i="12"/>
  <c r="K32" i="12"/>
  <c r="B32" i="13" s="1"/>
  <c r="Q70" i="11"/>
  <c r="R70" i="11" s="1"/>
  <c r="S70" i="11" s="1"/>
  <c r="T70" i="11" s="1"/>
  <c r="AA49" i="11"/>
  <c r="AC40" i="11"/>
  <c r="AA46" i="11"/>
  <c r="AE34" i="11"/>
  <c r="AA43" i="11"/>
  <c r="Q73" i="11"/>
  <c r="R73" i="11" s="1"/>
  <c r="W55" i="11"/>
  <c r="X55" i="11" s="1"/>
  <c r="T61" i="11"/>
  <c r="U58" i="11"/>
  <c r="T67" i="11"/>
  <c r="U64" i="11"/>
  <c r="W52" i="11"/>
  <c r="X52" i="11" s="1"/>
  <c r="F74" i="11"/>
  <c r="I50" i="11" s="1"/>
  <c r="D50" i="11" s="1"/>
  <c r="D20" i="11"/>
  <c r="J68" i="11"/>
  <c r="F186" i="12"/>
  <c r="E56" i="12"/>
  <c r="D51" i="12"/>
  <c r="C34" i="12" l="1"/>
  <c r="K33" i="12"/>
  <c r="B33" i="13" s="1"/>
  <c r="AB43" i="11"/>
  <c r="Y52" i="11"/>
  <c r="AB46" i="11"/>
  <c r="Y55" i="11"/>
  <c r="AD40" i="11"/>
  <c r="AB49" i="11"/>
  <c r="I62" i="11"/>
  <c r="D62" i="11" s="1"/>
  <c r="I56" i="11"/>
  <c r="D56" i="11" s="1"/>
  <c r="S73" i="11"/>
  <c r="U67" i="11"/>
  <c r="V58" i="11"/>
  <c r="V64" i="11"/>
  <c r="I23" i="11"/>
  <c r="D23" i="11" s="1"/>
  <c r="I26" i="11"/>
  <c r="D26" i="11" s="1"/>
  <c r="I32" i="11"/>
  <c r="D32" i="11" s="1"/>
  <c r="I29" i="11"/>
  <c r="D29" i="11" s="1"/>
  <c r="I38" i="11"/>
  <c r="D38" i="11" s="1"/>
  <c r="I35" i="11"/>
  <c r="D35" i="11" s="1"/>
  <c r="I41" i="11"/>
  <c r="D41" i="11" s="1"/>
  <c r="I44" i="11"/>
  <c r="D44" i="11" s="1"/>
  <c r="I71" i="11"/>
  <c r="I47" i="11"/>
  <c r="D47" i="11" s="1"/>
  <c r="J74" i="11"/>
  <c r="D74" i="11" s="1"/>
  <c r="I53" i="11"/>
  <c r="D53" i="11" s="1"/>
  <c r="I59" i="11"/>
  <c r="D59" i="11" s="1"/>
  <c r="I65" i="11"/>
  <c r="D65" i="11" s="1"/>
  <c r="U70" i="11"/>
  <c r="J71" i="11"/>
  <c r="U61" i="11"/>
  <c r="I68" i="11"/>
  <c r="D68" i="11" s="1"/>
  <c r="F187" i="12"/>
  <c r="E57" i="12"/>
  <c r="D52" i="12"/>
  <c r="K34" i="12" l="1"/>
  <c r="B34" i="13" s="1"/>
  <c r="C35" i="12"/>
  <c r="AC49" i="11"/>
  <c r="AE40" i="11"/>
  <c r="AC46" i="11"/>
  <c r="D71" i="11"/>
  <c r="Z55" i="11"/>
  <c r="Z52" i="11"/>
  <c r="AC43" i="11"/>
  <c r="W64" i="11"/>
  <c r="X64" i="11" s="1"/>
  <c r="W58" i="11"/>
  <c r="X58" i="11" s="1"/>
  <c r="V67" i="11"/>
  <c r="V61" i="11"/>
  <c r="V70" i="11"/>
  <c r="T73" i="11"/>
  <c r="F188" i="12"/>
  <c r="F189" i="12" s="1"/>
  <c r="F190" i="12" s="1"/>
  <c r="F191" i="12" s="1"/>
  <c r="F192" i="12" s="1"/>
  <c r="F193" i="12" s="1"/>
  <c r="F194" i="12" s="1"/>
  <c r="F195" i="12" s="1"/>
  <c r="F196" i="12" s="1"/>
  <c r="F197" i="12" s="1"/>
  <c r="F198" i="12" s="1"/>
  <c r="F199" i="12" s="1"/>
  <c r="F200" i="12" s="1"/>
  <c r="F201" i="12" s="1"/>
  <c r="F202" i="12" s="1"/>
  <c r="F203" i="12" s="1"/>
  <c r="F204" i="12" s="1"/>
  <c r="F205" i="12" s="1"/>
  <c r="F206" i="12" s="1"/>
  <c r="F207" i="12" s="1"/>
  <c r="F208" i="12" s="1"/>
  <c r="F209" i="12" s="1"/>
  <c r="F210" i="12" s="1"/>
  <c r="F211" i="12" s="1"/>
  <c r="F212" i="12" s="1"/>
  <c r="F213" i="12" s="1"/>
  <c r="F214" i="12" s="1"/>
  <c r="F215" i="12" s="1"/>
  <c r="F216" i="12" s="1"/>
  <c r="F217" i="12" s="1"/>
  <c r="F218" i="12" s="1"/>
  <c r="F219" i="12" s="1"/>
  <c r="F220" i="12" s="1"/>
  <c r="F221" i="12" s="1"/>
  <c r="F222" i="12" s="1"/>
  <c r="F223" i="12" s="1"/>
  <c r="F224" i="12" s="1"/>
  <c r="F225" i="12" s="1"/>
  <c r="F226" i="12" s="1"/>
  <c r="H178" i="12" s="1"/>
  <c r="E58" i="12"/>
  <c r="D53" i="12"/>
  <c r="K35" i="12" l="1"/>
  <c r="B35" i="13" s="1"/>
  <c r="C36" i="12"/>
  <c r="AD46" i="11"/>
  <c r="AA52" i="11"/>
  <c r="AA55" i="11"/>
  <c r="Y58" i="11"/>
  <c r="Y64" i="11"/>
  <c r="AD49" i="11"/>
  <c r="AD43" i="11"/>
  <c r="U73" i="11"/>
  <c r="W67" i="11"/>
  <c r="X67" i="11" s="1"/>
  <c r="W61" i="11"/>
  <c r="X61" i="11" s="1"/>
  <c r="W70" i="11"/>
  <c r="X70" i="11" s="1"/>
  <c r="I164" i="12"/>
  <c r="B164" i="12" s="1"/>
  <c r="T164" i="12" s="1"/>
  <c r="U164" i="12" s="1"/>
  <c r="I178" i="12"/>
  <c r="B178" i="12" s="1"/>
  <c r="T178" i="12" s="1"/>
  <c r="U178" i="12" s="1"/>
  <c r="E59" i="12"/>
  <c r="D54" i="12"/>
  <c r="D55" i="12" s="1"/>
  <c r="D56" i="12" s="1"/>
  <c r="D57" i="12" s="1"/>
  <c r="D58" i="12" s="1"/>
  <c r="K36" i="12" l="1"/>
  <c r="B36" i="13" s="1"/>
  <c r="C37" i="12"/>
  <c r="Z64" i="11"/>
  <c r="Y70" i="11"/>
  <c r="AB55" i="11"/>
  <c r="Z58" i="11"/>
  <c r="AB52" i="11"/>
  <c r="Y61" i="11"/>
  <c r="AE43" i="11"/>
  <c r="Y67" i="11"/>
  <c r="AE46" i="11"/>
  <c r="AE49" i="11"/>
  <c r="V73" i="11"/>
  <c r="D59" i="12"/>
  <c r="E60" i="12"/>
  <c r="K37" i="12" l="1"/>
  <c r="B37" i="13" s="1"/>
  <c r="C38" i="12"/>
  <c r="AC52" i="11"/>
  <c r="Z61" i="11"/>
  <c r="Z70" i="11"/>
  <c r="AA58" i="11"/>
  <c r="Z67" i="11"/>
  <c r="AC55" i="11"/>
  <c r="AA64" i="11"/>
  <c r="W73" i="11"/>
  <c r="X73" i="11" s="1"/>
  <c r="D60" i="12"/>
  <c r="E61" i="12"/>
  <c r="K38" i="12" l="1"/>
  <c r="B38" i="13" s="1"/>
  <c r="C39" i="12"/>
  <c r="Y73" i="11"/>
  <c r="AA67" i="11"/>
  <c r="AB64" i="11"/>
  <c r="AB58" i="11"/>
  <c r="AA61" i="11"/>
  <c r="AD55" i="11"/>
  <c r="AA70" i="11"/>
  <c r="AD52" i="11"/>
  <c r="D61" i="12"/>
  <c r="E62" i="12"/>
  <c r="C40" i="12" l="1"/>
  <c r="K39" i="12"/>
  <c r="B39" i="13" s="1"/>
  <c r="AE55" i="11"/>
  <c r="AB61" i="11"/>
  <c r="AB67" i="11"/>
  <c r="AC64" i="11"/>
  <c r="AE52" i="11"/>
  <c r="Z73" i="11"/>
  <c r="AC58" i="11"/>
  <c r="AB70" i="11"/>
  <c r="D62" i="12"/>
  <c r="E63" i="12"/>
  <c r="C41" i="12" l="1"/>
  <c r="K40" i="12"/>
  <c r="B40" i="13" s="1"/>
  <c r="AA73" i="11"/>
  <c r="AC61" i="11"/>
  <c r="AC67" i="11"/>
  <c r="AC70" i="11"/>
  <c r="AD64" i="11"/>
  <c r="AD58" i="11"/>
  <c r="D63" i="12"/>
  <c r="E64" i="12"/>
  <c r="C42" i="12" l="1"/>
  <c r="K41" i="12"/>
  <c r="B41" i="13" s="1"/>
  <c r="AD70" i="11"/>
  <c r="AB73" i="11"/>
  <c r="AE64" i="11"/>
  <c r="AD67" i="11"/>
  <c r="AD61" i="11"/>
  <c r="AE58" i="11"/>
  <c r="D64" i="12"/>
  <c r="E65" i="12"/>
  <c r="C43" i="12" l="1"/>
  <c r="K42" i="12"/>
  <c r="B42" i="13" s="1"/>
  <c r="AE67" i="11"/>
  <c r="AC73" i="11"/>
  <c r="AE70" i="11"/>
  <c r="AE61" i="11"/>
  <c r="E66" i="12"/>
  <c r="I62" i="12"/>
  <c r="D65" i="12"/>
  <c r="I40" i="12"/>
  <c r="B40" i="12" s="1"/>
  <c r="T40" i="12" s="1"/>
  <c r="U40" i="12" s="1"/>
  <c r="H56" i="12"/>
  <c r="H46" i="12"/>
  <c r="B46" i="12" s="1"/>
  <c r="T46" i="12" s="1"/>
  <c r="U46" i="12" s="1"/>
  <c r="H50" i="12"/>
  <c r="B50" i="12" s="1"/>
  <c r="T50" i="12" s="1"/>
  <c r="U50" i="12" s="1"/>
  <c r="I54" i="12"/>
  <c r="H54" i="12"/>
  <c r="C44" i="12" l="1"/>
  <c r="K43" i="12"/>
  <c r="B43" i="13" s="1"/>
  <c r="AD73" i="11"/>
  <c r="E67" i="12"/>
  <c r="D66" i="12"/>
  <c r="D67" i="12" s="1"/>
  <c r="D68" i="12" s="1"/>
  <c r="D69" i="12" s="1"/>
  <c r="D70" i="12" s="1"/>
  <c r="D71" i="12" s="1"/>
  <c r="D72" i="12" s="1"/>
  <c r="D73" i="12" s="1"/>
  <c r="D74" i="12" s="1"/>
  <c r="D75" i="12" s="1"/>
  <c r="D76" i="12" s="1"/>
  <c r="D77" i="12" s="1"/>
  <c r="D78" i="12" s="1"/>
  <c r="D79" i="12" s="1"/>
  <c r="I45" i="12"/>
  <c r="I58" i="12"/>
  <c r="B54" i="12"/>
  <c r="T54" i="12" s="1"/>
  <c r="U54" i="12" s="1"/>
  <c r="C45" i="12" l="1"/>
  <c r="K44" i="12"/>
  <c r="B44" i="13" s="1"/>
  <c r="AE73" i="11"/>
  <c r="E68" i="12"/>
  <c r="T12" i="12"/>
  <c r="N14" i="11" s="1"/>
  <c r="C46" i="12" l="1"/>
  <c r="K45" i="12"/>
  <c r="D80" i="12"/>
  <c r="E69" i="12"/>
  <c r="B45" i="13" l="1"/>
  <c r="L30" i="11"/>
  <c r="K46" i="12"/>
  <c r="B46" i="13" s="1"/>
  <c r="C47" i="12"/>
  <c r="D81" i="12"/>
  <c r="E70" i="12"/>
  <c r="K47" i="12" l="1"/>
  <c r="B47" i="13" s="1"/>
  <c r="C48" i="12"/>
  <c r="D82" i="12"/>
  <c r="C49" i="12" l="1"/>
  <c r="K48" i="12"/>
  <c r="B48" i="13" s="1"/>
  <c r="D83" i="12"/>
  <c r="E71" i="12"/>
  <c r="C50" i="12" l="1"/>
  <c r="K49" i="12"/>
  <c r="B49" i="13" s="1"/>
  <c r="D84" i="12"/>
  <c r="K50" i="12" l="1"/>
  <c r="B50" i="13" s="1"/>
  <c r="C51" i="12"/>
  <c r="D85" i="12"/>
  <c r="E72" i="12"/>
  <c r="E73" i="12" s="1"/>
  <c r="E74" i="12" s="1"/>
  <c r="E75" i="12" s="1"/>
  <c r="E76" i="12" s="1"/>
  <c r="K51" i="12" l="1"/>
  <c r="B51" i="13" s="1"/>
  <c r="C52" i="12"/>
  <c r="D86" i="12"/>
  <c r="D87" i="12" s="1"/>
  <c r="E77" i="12"/>
  <c r="I65" i="12"/>
  <c r="K52" i="12" l="1"/>
  <c r="B52" i="13" s="1"/>
  <c r="C53" i="12"/>
  <c r="D88" i="12"/>
  <c r="C54" i="12" l="1"/>
  <c r="K53" i="12"/>
  <c r="B53" i="13" s="1"/>
  <c r="D89" i="12"/>
  <c r="D90" i="12" s="1"/>
  <c r="D91" i="12" s="1"/>
  <c r="D92" i="12" s="1"/>
  <c r="D93" i="12" s="1"/>
  <c r="D94" i="12" s="1"/>
  <c r="D95" i="12" s="1"/>
  <c r="D96" i="12" s="1"/>
  <c r="I61" i="12"/>
  <c r="E78" i="12"/>
  <c r="C55" i="12" l="1"/>
  <c r="K54" i="12"/>
  <c r="B54" i="13" s="1"/>
  <c r="D97" i="12"/>
  <c r="I85" i="12"/>
  <c r="E79" i="12"/>
  <c r="C56" i="12" l="1"/>
  <c r="K55" i="12"/>
  <c r="B55" i="13" s="1"/>
  <c r="D98" i="12"/>
  <c r="K56" i="12" l="1"/>
  <c r="B56" i="13" s="1"/>
  <c r="C57" i="12"/>
  <c r="D99" i="12"/>
  <c r="E80" i="12"/>
  <c r="C58" i="12" l="1"/>
  <c r="K57" i="12"/>
  <c r="B57" i="13" s="1"/>
  <c r="E81" i="12"/>
  <c r="K58" i="12" l="1"/>
  <c r="C59" i="12"/>
  <c r="D100" i="12"/>
  <c r="E82" i="12"/>
  <c r="C60" i="12" l="1"/>
  <c r="K59" i="12"/>
  <c r="B59" i="13" s="1"/>
  <c r="B58" i="13"/>
  <c r="L33" i="11"/>
  <c r="D101" i="12"/>
  <c r="E83" i="12"/>
  <c r="C61" i="12" l="1"/>
  <c r="K60" i="12"/>
  <c r="B60" i="13" s="1"/>
  <c r="D102" i="12"/>
  <c r="E84" i="12"/>
  <c r="K61" i="12" l="1"/>
  <c r="C62" i="12"/>
  <c r="E85" i="12"/>
  <c r="K62" i="12" l="1"/>
  <c r="B62" i="13" s="1"/>
  <c r="C63" i="12"/>
  <c r="B61" i="13"/>
  <c r="L36" i="11"/>
  <c r="D103" i="12"/>
  <c r="E86" i="12"/>
  <c r="H65" i="12"/>
  <c r="B65" i="12" s="1"/>
  <c r="T65" i="12" s="1"/>
  <c r="U65" i="12" s="1"/>
  <c r="H62" i="12"/>
  <c r="B62" i="12" s="1"/>
  <c r="T62" i="12" s="1"/>
  <c r="U62" i="12" s="1"/>
  <c r="H76" i="12"/>
  <c r="C64" i="12" l="1"/>
  <c r="K63" i="12"/>
  <c r="B63" i="13" s="1"/>
  <c r="I79" i="12"/>
  <c r="E87" i="12"/>
  <c r="E88" i="12" s="1"/>
  <c r="E89" i="12" s="1"/>
  <c r="E90" i="12" s="1"/>
  <c r="E91" i="12" s="1"/>
  <c r="E92" i="12" s="1"/>
  <c r="C65" i="12" l="1"/>
  <c r="K64" i="12"/>
  <c r="B64" i="13" s="1"/>
  <c r="D104" i="12"/>
  <c r="E93" i="12"/>
  <c r="I86" i="12"/>
  <c r="C66" i="12" l="1"/>
  <c r="K65" i="12"/>
  <c r="B65" i="13" s="1"/>
  <c r="D105" i="12"/>
  <c r="D106" i="12" s="1"/>
  <c r="D107" i="12" s="1"/>
  <c r="D108" i="12" s="1"/>
  <c r="D109" i="12" s="1"/>
  <c r="E94" i="12"/>
  <c r="C67" i="12" l="1"/>
  <c r="K66" i="12"/>
  <c r="B66" i="13" s="1"/>
  <c r="D110" i="12"/>
  <c r="I96" i="12"/>
  <c r="I101" i="12"/>
  <c r="E95" i="12"/>
  <c r="C68" i="12" l="1"/>
  <c r="K67" i="12"/>
  <c r="B67" i="13" s="1"/>
  <c r="D111" i="12"/>
  <c r="E96" i="12"/>
  <c r="C69" i="12" l="1"/>
  <c r="K68" i="12"/>
  <c r="B68" i="13" s="1"/>
  <c r="D112" i="12"/>
  <c r="E97" i="12"/>
  <c r="K69" i="12" l="1"/>
  <c r="B69" i="13" s="1"/>
  <c r="C70" i="12"/>
  <c r="D113" i="12"/>
  <c r="E98" i="12"/>
  <c r="K70" i="12" l="1"/>
  <c r="B70" i="13" s="1"/>
  <c r="C71" i="12"/>
  <c r="D114" i="12"/>
  <c r="E99" i="12"/>
  <c r="K71" i="12" l="1"/>
  <c r="B71" i="13" s="1"/>
  <c r="C72" i="12"/>
  <c r="D115" i="12"/>
  <c r="K72" i="12" l="1"/>
  <c r="B72" i="13" s="1"/>
  <c r="C73" i="12"/>
  <c r="D116" i="12"/>
  <c r="E100" i="12"/>
  <c r="K73" i="12" l="1"/>
  <c r="B73" i="13" s="1"/>
  <c r="C74" i="12"/>
  <c r="K74" i="12" s="1"/>
  <c r="B74" i="13" s="1"/>
  <c r="E101" i="12"/>
  <c r="C75" i="12"/>
  <c r="D117" i="12" l="1"/>
  <c r="E102" i="12"/>
  <c r="E103" i="12" s="1"/>
  <c r="E104" i="12" s="1"/>
  <c r="E105" i="12" s="1"/>
  <c r="E106" i="12" s="1"/>
  <c r="E107" i="12" s="1"/>
  <c r="E108" i="12" s="1"/>
  <c r="E109" i="12" s="1"/>
  <c r="E110" i="12" s="1"/>
  <c r="K75" i="12"/>
  <c r="B75" i="13" s="1"/>
  <c r="E111" i="12" l="1"/>
  <c r="D118" i="12"/>
  <c r="H92" i="12"/>
  <c r="C76" i="12"/>
  <c r="E112" i="12" l="1"/>
  <c r="D119" i="12"/>
  <c r="D120" i="12" s="1"/>
  <c r="D121" i="12" s="1"/>
  <c r="D122" i="12" s="1"/>
  <c r="D123" i="12" s="1"/>
  <c r="D124" i="12" s="1"/>
  <c r="D125" i="12" s="1"/>
  <c r="K76" i="12"/>
  <c r="B76" i="13" s="1"/>
  <c r="C77" i="12"/>
  <c r="D126" i="12" l="1"/>
  <c r="E113" i="12"/>
  <c r="I109" i="12"/>
  <c r="K77" i="12"/>
  <c r="B77" i="13" s="1"/>
  <c r="D127" i="12" l="1"/>
  <c r="E114" i="12"/>
  <c r="C78" i="12"/>
  <c r="D128" i="12" l="1"/>
  <c r="E115" i="12"/>
  <c r="C79" i="12"/>
  <c r="K78" i="12"/>
  <c r="B78" i="13" s="1"/>
  <c r="D129" i="12" l="1"/>
  <c r="E116" i="12"/>
  <c r="K79" i="12"/>
  <c r="B79" i="13" l="1"/>
  <c r="L39" i="11"/>
  <c r="D130" i="12"/>
  <c r="C80" i="12"/>
  <c r="D131" i="12" l="1"/>
  <c r="E117" i="12"/>
  <c r="K80" i="12"/>
  <c r="B80" i="13" s="1"/>
  <c r="C81" i="12"/>
  <c r="D132" i="12" l="1"/>
  <c r="E118" i="12"/>
  <c r="C82" i="12"/>
  <c r="K81" i="12"/>
  <c r="B81" i="13" s="1"/>
  <c r="E119" i="12" l="1"/>
  <c r="C83" i="12"/>
  <c r="K82" i="12"/>
  <c r="B82" i="13" s="1"/>
  <c r="D133" i="12" l="1"/>
  <c r="E120" i="12"/>
  <c r="C84" i="12"/>
  <c r="K83" i="12"/>
  <c r="B83" i="13" s="1"/>
  <c r="D134" i="12" l="1"/>
  <c r="E121" i="12"/>
  <c r="E122" i="12" s="1"/>
  <c r="E123" i="12" s="1"/>
  <c r="E124" i="12" s="1"/>
  <c r="E125" i="12" s="1"/>
  <c r="E126" i="12" s="1"/>
  <c r="E127" i="12" s="1"/>
  <c r="E128" i="12" s="1"/>
  <c r="E129" i="12" s="1"/>
  <c r="E130" i="12" s="1"/>
  <c r="E131" i="12" s="1"/>
  <c r="E132" i="12" s="1"/>
  <c r="E133" i="12" s="1"/>
  <c r="E134" i="12" s="1"/>
  <c r="E135" i="12" s="1"/>
  <c r="E136" i="12" s="1"/>
  <c r="E137" i="12" s="1"/>
  <c r="E138" i="12" s="1"/>
  <c r="E139" i="12" s="1"/>
  <c r="E140" i="12" s="1"/>
  <c r="E141" i="12" s="1"/>
  <c r="E142" i="12" s="1"/>
  <c r="E143" i="12" s="1"/>
  <c r="E144" i="12" s="1"/>
  <c r="E145" i="12" s="1"/>
  <c r="E146" i="12" s="1"/>
  <c r="E147" i="12" s="1"/>
  <c r="E148" i="12" s="1"/>
  <c r="E149" i="12" s="1"/>
  <c r="E150" i="12" s="1"/>
  <c r="E151" i="12" s="1"/>
  <c r="E152" i="12" s="1"/>
  <c r="E153" i="12" s="1"/>
  <c r="H86" i="12"/>
  <c r="B86" i="12" s="1"/>
  <c r="T86" i="12" s="1"/>
  <c r="U86" i="12" s="1"/>
  <c r="I110" i="12"/>
  <c r="C85" i="12"/>
  <c r="C86" i="12" s="1"/>
  <c r="K86" i="12" s="1"/>
  <c r="B86" i="13" s="1"/>
  <c r="K84" i="12"/>
  <c r="B84" i="13" s="1"/>
  <c r="E154" i="12" l="1"/>
  <c r="D135" i="12"/>
  <c r="D136" i="12" s="1"/>
  <c r="D137" i="12" s="1"/>
  <c r="D138" i="12" s="1"/>
  <c r="D139" i="12" s="1"/>
  <c r="D140" i="12" s="1"/>
  <c r="D141" i="12" s="1"/>
  <c r="D142" i="12" s="1"/>
  <c r="H110" i="12"/>
  <c r="B110" i="12" s="1"/>
  <c r="T110" i="12" s="1"/>
  <c r="U110" i="12" s="1"/>
  <c r="H119" i="12"/>
  <c r="K85" i="12"/>
  <c r="C87" i="12"/>
  <c r="B85" i="13" l="1"/>
  <c r="L42" i="11"/>
  <c r="E155" i="12"/>
  <c r="D143" i="12"/>
  <c r="I125" i="12"/>
  <c r="K87" i="12"/>
  <c r="B87" i="13" s="1"/>
  <c r="C88" i="12"/>
  <c r="E156" i="12" l="1"/>
  <c r="D144" i="12"/>
  <c r="C89" i="12"/>
  <c r="K88" i="12"/>
  <c r="B88" i="13" s="1"/>
  <c r="K89" i="12" l="1"/>
  <c r="B89" i="13" s="1"/>
  <c r="C90" i="12"/>
  <c r="E157" i="12" l="1"/>
  <c r="D145" i="12"/>
  <c r="K90" i="12"/>
  <c r="B90" i="13" s="1"/>
  <c r="C91" i="12"/>
  <c r="K91" i="12" l="1"/>
  <c r="B91" i="13" s="1"/>
  <c r="C92" i="12"/>
  <c r="E158" i="12" l="1"/>
  <c r="D146" i="12"/>
  <c r="K92" i="12"/>
  <c r="B92" i="13" s="1"/>
  <c r="C93" i="12"/>
  <c r="E159" i="12" l="1"/>
  <c r="C94" i="12"/>
  <c r="K93" i="12"/>
  <c r="B93" i="13" s="1"/>
  <c r="E160" i="12" l="1"/>
  <c r="E161" i="12" s="1"/>
  <c r="E162" i="12" s="1"/>
  <c r="E163" i="12" s="1"/>
  <c r="D147" i="12"/>
  <c r="C95" i="12"/>
  <c r="K94" i="12"/>
  <c r="B94" i="13" s="1"/>
  <c r="E164" i="12" l="1"/>
  <c r="I158" i="12"/>
  <c r="I119" i="12"/>
  <c r="B119" i="12" s="1"/>
  <c r="T119" i="12" s="1"/>
  <c r="U119" i="12" s="1"/>
  <c r="I92" i="12"/>
  <c r="B92" i="12" s="1"/>
  <c r="T92" i="12" s="1"/>
  <c r="U92" i="12" s="1"/>
  <c r="D148" i="12"/>
  <c r="K95" i="12"/>
  <c r="B95" i="13" s="1"/>
  <c r="C96" i="12"/>
  <c r="E165" i="12" l="1"/>
  <c r="D149" i="12"/>
  <c r="K96" i="12"/>
  <c r="C97" i="12"/>
  <c r="B96" i="13" l="1"/>
  <c r="L45" i="11"/>
  <c r="E166" i="12"/>
  <c r="D150" i="12"/>
  <c r="C98" i="12"/>
  <c r="K97" i="12"/>
  <c r="B97" i="13" s="1"/>
  <c r="D151" i="12" l="1"/>
  <c r="I142" i="12"/>
  <c r="C99" i="12"/>
  <c r="K98" i="12"/>
  <c r="B98" i="13" s="1"/>
  <c r="E167" i="12" l="1"/>
  <c r="D152" i="12"/>
  <c r="K99" i="12"/>
  <c r="B99" i="13" s="1"/>
  <c r="D153" i="12" l="1"/>
  <c r="C100" i="12"/>
  <c r="E168" i="12" l="1"/>
  <c r="D154" i="12"/>
  <c r="C101" i="12"/>
  <c r="K100" i="12"/>
  <c r="B100" i="13" s="1"/>
  <c r="D155" i="12" l="1"/>
  <c r="K101" i="12"/>
  <c r="C102" i="12"/>
  <c r="B101" i="13" l="1"/>
  <c r="L48" i="11"/>
  <c r="E169" i="12"/>
  <c r="D156" i="12"/>
  <c r="K102" i="12"/>
  <c r="B102" i="13" s="1"/>
  <c r="D157" i="12" l="1"/>
  <c r="D158" i="12" s="1"/>
  <c r="D159" i="12" s="1"/>
  <c r="D160" i="12" s="1"/>
  <c r="D161" i="12" s="1"/>
  <c r="D162" i="12" s="1"/>
  <c r="D163" i="12" s="1"/>
  <c r="D164" i="12" s="1"/>
  <c r="D165" i="12" s="1"/>
  <c r="D166" i="12" s="1"/>
  <c r="D167" i="12" s="1"/>
  <c r="D168" i="12" s="1"/>
  <c r="D169" i="12" s="1"/>
  <c r="D170" i="12" s="1"/>
  <c r="D171" i="12" s="1"/>
  <c r="D172" i="12" s="1"/>
  <c r="D173" i="12" s="1"/>
  <c r="D174" i="12" s="1"/>
  <c r="D175" i="12" s="1"/>
  <c r="D176" i="12" s="1"/>
  <c r="D177" i="12" s="1"/>
  <c r="D178" i="12" s="1"/>
  <c r="D179" i="12" s="1"/>
  <c r="D180" i="12" s="1"/>
  <c r="D181" i="12" s="1"/>
  <c r="D182" i="12" s="1"/>
  <c r="D183" i="12" s="1"/>
  <c r="D184" i="12" s="1"/>
  <c r="D185" i="12" s="1"/>
  <c r="D186" i="12" s="1"/>
  <c r="D187" i="12" s="1"/>
  <c r="D188" i="12" s="1"/>
  <c r="D189" i="12" s="1"/>
  <c r="D190" i="12" s="1"/>
  <c r="D191" i="12" s="1"/>
  <c r="D192" i="12" s="1"/>
  <c r="D193" i="12" s="1"/>
  <c r="D194" i="12" s="1"/>
  <c r="D195" i="12" s="1"/>
  <c r="D196" i="12" s="1"/>
  <c r="D197" i="12" s="1"/>
  <c r="D198" i="12" s="1"/>
  <c r="D199" i="12" s="1"/>
  <c r="D200" i="12" s="1"/>
  <c r="D201" i="12" s="1"/>
  <c r="D202" i="12" s="1"/>
  <c r="D203" i="12" s="1"/>
  <c r="C103" i="12"/>
  <c r="D204" i="12" l="1"/>
  <c r="E170" i="12"/>
  <c r="E171" i="12" s="1"/>
  <c r="E172" i="12" s="1"/>
  <c r="E173" i="12" s="1"/>
  <c r="E174" i="12" s="1"/>
  <c r="E175" i="12" s="1"/>
  <c r="E176" i="12" s="1"/>
  <c r="E177" i="12" s="1"/>
  <c r="I152" i="12"/>
  <c r="I148" i="12"/>
  <c r="K103" i="12"/>
  <c r="B103" i="13" s="1"/>
  <c r="E178" i="12" l="1"/>
  <c r="I153" i="12"/>
  <c r="I163" i="12"/>
  <c r="C104" i="12"/>
  <c r="D205" i="12" l="1"/>
  <c r="E179" i="12"/>
  <c r="K104" i="12"/>
  <c r="B104" i="13" s="1"/>
  <c r="E180" i="12" l="1"/>
  <c r="C105" i="12"/>
  <c r="D206" i="12" l="1"/>
  <c r="E181" i="12"/>
  <c r="K105" i="12"/>
  <c r="B105" i="13" s="1"/>
  <c r="E182" i="12" l="1"/>
  <c r="C106" i="12"/>
  <c r="D207" i="12" l="1"/>
  <c r="E183" i="12"/>
  <c r="K106" i="12"/>
  <c r="B106" i="13" s="1"/>
  <c r="D208" i="12" l="1"/>
  <c r="E184" i="12"/>
  <c r="C107" i="12"/>
  <c r="E185" i="12" l="1"/>
  <c r="K107" i="12"/>
  <c r="B107" i="13" s="1"/>
  <c r="D209" i="12" l="1"/>
  <c r="E186" i="12"/>
  <c r="C108" i="12"/>
  <c r="D210" i="12" l="1"/>
  <c r="D211" i="12" s="1"/>
  <c r="D212" i="12" s="1"/>
  <c r="E187" i="12"/>
  <c r="K108" i="12"/>
  <c r="B108" i="13" s="1"/>
  <c r="C109" i="12"/>
  <c r="D213" i="12" l="1"/>
  <c r="I203" i="12"/>
  <c r="E188" i="12"/>
  <c r="E189" i="12" s="1"/>
  <c r="E190" i="12" s="1"/>
  <c r="E191" i="12" s="1"/>
  <c r="C110" i="12"/>
  <c r="K109" i="12"/>
  <c r="B109" i="13" l="1"/>
  <c r="L51" i="11"/>
  <c r="D214" i="12"/>
  <c r="E192" i="12"/>
  <c r="I56" i="12"/>
  <c r="B56" i="12" s="1"/>
  <c r="T56" i="12" s="1"/>
  <c r="U56" i="12" s="1"/>
  <c r="I76" i="12"/>
  <c r="B76" i="12" s="1"/>
  <c r="T76" i="12" s="1"/>
  <c r="U76" i="12" s="1"/>
  <c r="I177" i="12"/>
  <c r="K110" i="12"/>
  <c r="B110" i="13" s="1"/>
  <c r="C111" i="12"/>
  <c r="D215" i="12" l="1"/>
  <c r="E193" i="12"/>
  <c r="K111" i="12"/>
  <c r="B111" i="13" s="1"/>
  <c r="C112" i="12"/>
  <c r="D216" i="12" l="1"/>
  <c r="E194" i="12"/>
  <c r="C113" i="12"/>
  <c r="K112" i="12"/>
  <c r="B112" i="13" s="1"/>
  <c r="D217" i="12" l="1"/>
  <c r="E195" i="12"/>
  <c r="K113" i="12"/>
  <c r="B113" i="13" s="1"/>
  <c r="C114" i="12"/>
  <c r="E196" i="12" l="1"/>
  <c r="K114" i="12"/>
  <c r="B114" i="13" s="1"/>
  <c r="C115" i="12"/>
  <c r="D218" i="12" l="1"/>
  <c r="E197" i="12"/>
  <c r="K115" i="12"/>
  <c r="B115" i="13" s="1"/>
  <c r="C116" i="12"/>
  <c r="E198" i="12" l="1"/>
  <c r="K116" i="12"/>
  <c r="B116" i="13" s="1"/>
  <c r="D219" i="12" l="1"/>
  <c r="E199" i="12"/>
  <c r="C117" i="12"/>
  <c r="D220" i="12" l="1"/>
  <c r="E200" i="12"/>
  <c r="C118" i="12"/>
  <c r="K117" i="12"/>
  <c r="B117" i="13" s="1"/>
  <c r="D221" i="12" l="1"/>
  <c r="D222" i="12" s="1"/>
  <c r="D223" i="12" s="1"/>
  <c r="D224" i="12" s="1"/>
  <c r="D225" i="12" s="1"/>
  <c r="E201" i="12"/>
  <c r="C119" i="12"/>
  <c r="K118" i="12"/>
  <c r="B118" i="13" s="1"/>
  <c r="D226" i="12" l="1"/>
  <c r="H14" i="12" s="1"/>
  <c r="B14" i="12" s="1"/>
  <c r="T14" i="12" s="1"/>
  <c r="U14" i="12" s="1"/>
  <c r="I225" i="12"/>
  <c r="H101" i="12"/>
  <c r="B101" i="12" s="1"/>
  <c r="T101" i="12" s="1"/>
  <c r="I212" i="12"/>
  <c r="H212" i="12"/>
  <c r="E202" i="12"/>
  <c r="E203" i="12" s="1"/>
  <c r="E204" i="12" s="1"/>
  <c r="E205" i="12" s="1"/>
  <c r="E206" i="12" s="1"/>
  <c r="E207" i="12" s="1"/>
  <c r="E208" i="12" s="1"/>
  <c r="E209" i="12" s="1"/>
  <c r="E210" i="12" s="1"/>
  <c r="E211" i="12" s="1"/>
  <c r="E212" i="12" s="1"/>
  <c r="E213" i="12" s="1"/>
  <c r="K119" i="12"/>
  <c r="B119" i="13" s="1"/>
  <c r="C120" i="12"/>
  <c r="U101" i="12" l="1"/>
  <c r="E214" i="12"/>
  <c r="H225" i="12"/>
  <c r="B225" i="12" s="1"/>
  <c r="T225" i="12" s="1"/>
  <c r="H109" i="12"/>
  <c r="B109" i="12" s="1"/>
  <c r="T109" i="12" s="1"/>
  <c r="H45" i="12"/>
  <c r="B45" i="12" s="1"/>
  <c r="T45" i="12" s="1"/>
  <c r="H26" i="12"/>
  <c r="B26" i="12" s="1"/>
  <c r="T26" i="12" s="1"/>
  <c r="H58" i="12"/>
  <c r="B58" i="12" s="1"/>
  <c r="T58" i="12" s="1"/>
  <c r="H31" i="12"/>
  <c r="B31" i="12" s="1"/>
  <c r="T31" i="12" s="1"/>
  <c r="H148" i="12"/>
  <c r="B148" i="12" s="1"/>
  <c r="T148" i="12" s="1"/>
  <c r="H203" i="12"/>
  <c r="B203" i="12" s="1"/>
  <c r="T203" i="12" s="1"/>
  <c r="H61" i="12"/>
  <c r="B61" i="12" s="1"/>
  <c r="T61" i="12" s="1"/>
  <c r="H85" i="12"/>
  <c r="B85" i="12" s="1"/>
  <c r="T85" i="12" s="1"/>
  <c r="H17" i="12"/>
  <c r="B17" i="12" s="1"/>
  <c r="T17" i="12" s="1"/>
  <c r="H96" i="12"/>
  <c r="B96" i="12" s="1"/>
  <c r="T96" i="12" s="1"/>
  <c r="K50" i="11" s="1"/>
  <c r="N48" i="11" s="1"/>
  <c r="H142" i="12"/>
  <c r="B142" i="12" s="1"/>
  <c r="T142" i="12" s="1"/>
  <c r="H152" i="12"/>
  <c r="B152" i="12" s="1"/>
  <c r="T152" i="12" s="1"/>
  <c r="H79" i="12"/>
  <c r="B79" i="12" s="1"/>
  <c r="T79" i="12" s="1"/>
  <c r="H125" i="12"/>
  <c r="B125" i="12" s="1"/>
  <c r="T125" i="12" s="1"/>
  <c r="B212" i="12"/>
  <c r="T212" i="12" s="1"/>
  <c r="H177" i="12"/>
  <c r="B177" i="12" s="1"/>
  <c r="T177" i="12" s="1"/>
  <c r="U177" i="12" s="1"/>
  <c r="H158" i="12"/>
  <c r="B158" i="12" s="1"/>
  <c r="T158" i="12" s="1"/>
  <c r="U158" i="12" s="1"/>
  <c r="H163" i="12"/>
  <c r="B163" i="12" s="1"/>
  <c r="T163" i="12" s="1"/>
  <c r="U163" i="12" s="1"/>
  <c r="H191" i="12"/>
  <c r="K120" i="12"/>
  <c r="B120" i="13" s="1"/>
  <c r="C121" i="12"/>
  <c r="X50" i="11" l="1"/>
  <c r="Y50" i="11"/>
  <c r="Z50" i="11"/>
  <c r="AA50" i="11"/>
  <c r="AB50" i="11"/>
  <c r="AC50" i="11"/>
  <c r="AD50" i="11"/>
  <c r="AE50" i="11"/>
  <c r="U61" i="12"/>
  <c r="K38" i="11"/>
  <c r="N36" i="11" s="1"/>
  <c r="U203" i="12"/>
  <c r="K68" i="11"/>
  <c r="N66" i="11" s="1"/>
  <c r="U148" i="12"/>
  <c r="K62" i="11"/>
  <c r="N60" i="11" s="1"/>
  <c r="U31" i="12"/>
  <c r="K29" i="11"/>
  <c r="N27" i="11" s="1"/>
  <c r="U212" i="12"/>
  <c r="K71" i="11"/>
  <c r="N69" i="11" s="1"/>
  <c r="U58" i="12"/>
  <c r="K35" i="11"/>
  <c r="N33" i="11" s="1"/>
  <c r="U26" i="12"/>
  <c r="K26" i="11"/>
  <c r="N24" i="11" s="1"/>
  <c r="U45" i="12"/>
  <c r="K32" i="11"/>
  <c r="N30" i="11" s="1"/>
  <c r="U79" i="12"/>
  <c r="K41" i="11"/>
  <c r="N39" i="11" s="1"/>
  <c r="U109" i="12"/>
  <c r="K53" i="11"/>
  <c r="N51" i="11" s="1"/>
  <c r="U125" i="12"/>
  <c r="K56" i="11"/>
  <c r="N54" i="11" s="1"/>
  <c r="U142" i="12"/>
  <c r="K59" i="11"/>
  <c r="N57" i="11" s="1"/>
  <c r="U225" i="12"/>
  <c r="K74" i="11"/>
  <c r="N72" i="11" s="1"/>
  <c r="U152" i="12"/>
  <c r="K65" i="11"/>
  <c r="N63" i="11" s="1"/>
  <c r="U96" i="12"/>
  <c r="K47" i="11"/>
  <c r="N45" i="11" s="1"/>
  <c r="U17" i="12"/>
  <c r="K23" i="11"/>
  <c r="N21" i="11" s="1"/>
  <c r="P50" i="11"/>
  <c r="AK50" i="11"/>
  <c r="Q50" i="11"/>
  <c r="R50" i="11"/>
  <c r="S50" i="11"/>
  <c r="T50" i="11"/>
  <c r="U50" i="11"/>
  <c r="V50" i="11"/>
  <c r="W50" i="11"/>
  <c r="U85" i="12"/>
  <c r="K44" i="11"/>
  <c r="N42" i="11" s="1"/>
  <c r="E215" i="12"/>
  <c r="K121" i="12"/>
  <c r="B121" i="13" s="1"/>
  <c r="C122" i="12"/>
  <c r="X68" i="11" l="1"/>
  <c r="Y68" i="11"/>
  <c r="Z68" i="11"/>
  <c r="AA68" i="11"/>
  <c r="AB68" i="11"/>
  <c r="AC68" i="11"/>
  <c r="AD68" i="11"/>
  <c r="AE68" i="11"/>
  <c r="X32" i="11"/>
  <c r="Y32" i="11"/>
  <c r="Z32" i="11"/>
  <c r="AA32" i="11"/>
  <c r="AB32" i="11"/>
  <c r="AC32" i="11"/>
  <c r="AD32" i="11"/>
  <c r="AE32" i="11"/>
  <c r="X65" i="11"/>
  <c r="Y65" i="11"/>
  <c r="Z65" i="11"/>
  <c r="AA65" i="11"/>
  <c r="AB65" i="11"/>
  <c r="AC65" i="11"/>
  <c r="AD65" i="11"/>
  <c r="AE65" i="11"/>
  <c r="X38" i="11"/>
  <c r="Y38" i="11"/>
  <c r="Z38" i="11"/>
  <c r="AA38" i="11"/>
  <c r="AB38" i="11"/>
  <c r="AC38" i="11"/>
  <c r="AD38" i="11"/>
  <c r="AE38" i="11"/>
  <c r="X74" i="11"/>
  <c r="Y74" i="11"/>
  <c r="Z74" i="11"/>
  <c r="AA74" i="11"/>
  <c r="AB74" i="11"/>
  <c r="AC74" i="11"/>
  <c r="AD74" i="11"/>
  <c r="AE74" i="11"/>
  <c r="X26" i="11"/>
  <c r="Y26" i="11"/>
  <c r="Z26" i="11"/>
  <c r="AA26" i="11"/>
  <c r="AB26" i="11"/>
  <c r="AC26" i="11"/>
  <c r="AD26" i="11"/>
  <c r="AE26" i="11"/>
  <c r="X35" i="11"/>
  <c r="Y35" i="11"/>
  <c r="Z35" i="11"/>
  <c r="AA35" i="11"/>
  <c r="AB35" i="11"/>
  <c r="AC35" i="11"/>
  <c r="AD35" i="11"/>
  <c r="AE35" i="11"/>
  <c r="X59" i="11"/>
  <c r="Y59" i="11"/>
  <c r="Z59" i="11"/>
  <c r="AA59" i="11"/>
  <c r="AB59" i="11"/>
  <c r="AC59" i="11"/>
  <c r="AD59" i="11"/>
  <c r="AE59" i="11"/>
  <c r="X71" i="11"/>
  <c r="Y71" i="11"/>
  <c r="Z71" i="11"/>
  <c r="AA71" i="11"/>
  <c r="AB71" i="11"/>
  <c r="AC71" i="11"/>
  <c r="AD71" i="11"/>
  <c r="AE71" i="11"/>
  <c r="X56" i="11"/>
  <c r="Y56" i="11"/>
  <c r="Z56" i="11"/>
  <c r="AA56" i="11"/>
  <c r="AB56" i="11"/>
  <c r="AC56" i="11"/>
  <c r="AD56" i="11"/>
  <c r="AE56" i="11"/>
  <c r="X53" i="11"/>
  <c r="Y53" i="11"/>
  <c r="Z53" i="11"/>
  <c r="AA53" i="11"/>
  <c r="AB53" i="11"/>
  <c r="AC53" i="11"/>
  <c r="AD53" i="11"/>
  <c r="AE53" i="11"/>
  <c r="X29" i="11"/>
  <c r="Y29" i="11"/>
  <c r="Z29" i="11"/>
  <c r="AA29" i="11"/>
  <c r="AB29" i="11"/>
  <c r="AC29" i="11"/>
  <c r="AD29" i="11"/>
  <c r="AE29" i="11"/>
  <c r="X23" i="11"/>
  <c r="Y23" i="11"/>
  <c r="Z23" i="11"/>
  <c r="AA23" i="11"/>
  <c r="AB23" i="11"/>
  <c r="AC23" i="11"/>
  <c r="AD23" i="11"/>
  <c r="AE23" i="11"/>
  <c r="X44" i="11"/>
  <c r="Y44" i="11"/>
  <c r="Z44" i="11"/>
  <c r="AA44" i="11"/>
  <c r="AB44" i="11"/>
  <c r="AC44" i="11"/>
  <c r="AD44" i="11"/>
  <c r="AE44" i="11"/>
  <c r="X47" i="11"/>
  <c r="Y47" i="11"/>
  <c r="Z47" i="11"/>
  <c r="AA47" i="11"/>
  <c r="AB47" i="11"/>
  <c r="AC47" i="11"/>
  <c r="AD47" i="11"/>
  <c r="AE47" i="11"/>
  <c r="X62" i="11"/>
  <c r="Y62" i="11"/>
  <c r="Z62" i="11"/>
  <c r="AA62" i="11"/>
  <c r="AB62" i="11"/>
  <c r="AC62" i="11"/>
  <c r="AD62" i="11"/>
  <c r="AE62" i="11"/>
  <c r="X41" i="11"/>
  <c r="Y41" i="11"/>
  <c r="Z41" i="11"/>
  <c r="AA41" i="11"/>
  <c r="AB41" i="11"/>
  <c r="AC41" i="11"/>
  <c r="AD41" i="11"/>
  <c r="AE41" i="11"/>
  <c r="P35" i="11"/>
  <c r="AK35" i="11"/>
  <c r="Q35" i="11"/>
  <c r="R35" i="11"/>
  <c r="S35" i="11"/>
  <c r="T35" i="11"/>
  <c r="U35" i="11"/>
  <c r="V35" i="11"/>
  <c r="W35" i="11"/>
  <c r="AK59" i="11"/>
  <c r="P59" i="11"/>
  <c r="Q59" i="11"/>
  <c r="R59" i="11"/>
  <c r="S59" i="11"/>
  <c r="T59" i="11"/>
  <c r="U59" i="11"/>
  <c r="V59" i="11"/>
  <c r="W59" i="11"/>
  <c r="P71" i="11"/>
  <c r="Q71" i="11"/>
  <c r="AK71" i="11"/>
  <c r="S71" i="11"/>
  <c r="T71" i="11"/>
  <c r="R71" i="11"/>
  <c r="U71" i="11"/>
  <c r="V71" i="11"/>
  <c r="W71" i="11"/>
  <c r="P53" i="11"/>
  <c r="AK53" i="11"/>
  <c r="Q53" i="11"/>
  <c r="R53" i="11"/>
  <c r="S53" i="11"/>
  <c r="T53" i="11"/>
  <c r="U53" i="11"/>
  <c r="V53" i="11"/>
  <c r="W53" i="11"/>
  <c r="P29" i="11"/>
  <c r="Q29" i="11"/>
  <c r="AK29" i="11"/>
  <c r="R29" i="11"/>
  <c r="S29" i="11"/>
  <c r="T29" i="11"/>
  <c r="U29" i="11"/>
  <c r="V29" i="11"/>
  <c r="W29" i="11"/>
  <c r="AK44" i="11"/>
  <c r="P44" i="11"/>
  <c r="Q44" i="11"/>
  <c r="R44" i="11"/>
  <c r="S44" i="11"/>
  <c r="T44" i="11"/>
  <c r="U44" i="11"/>
  <c r="V44" i="11"/>
  <c r="W44" i="11"/>
  <c r="Q47" i="11"/>
  <c r="AK47" i="11"/>
  <c r="P47" i="11"/>
  <c r="R47" i="11"/>
  <c r="S47" i="11"/>
  <c r="T47" i="11"/>
  <c r="U47" i="11"/>
  <c r="V47" i="11"/>
  <c r="W47" i="11"/>
  <c r="AK62" i="11"/>
  <c r="P62" i="11"/>
  <c r="Q62" i="11"/>
  <c r="R62" i="11"/>
  <c r="S62" i="11"/>
  <c r="T62" i="11"/>
  <c r="U62" i="11"/>
  <c r="V62" i="11"/>
  <c r="W62" i="11"/>
  <c r="AK41" i="11"/>
  <c r="P41" i="11"/>
  <c r="Q41" i="11"/>
  <c r="R41" i="11"/>
  <c r="S41" i="11"/>
  <c r="T41" i="11"/>
  <c r="U41" i="11"/>
  <c r="V41" i="11"/>
  <c r="W41" i="11"/>
  <c r="P23" i="11"/>
  <c r="Q23" i="11"/>
  <c r="AK23" i="11"/>
  <c r="T23" i="11"/>
  <c r="R23" i="11"/>
  <c r="S23" i="11"/>
  <c r="U23" i="11"/>
  <c r="V23" i="11"/>
  <c r="W23" i="11"/>
  <c r="Q68" i="11"/>
  <c r="AK68" i="11"/>
  <c r="P68" i="11"/>
  <c r="R68" i="11"/>
  <c r="S68" i="11"/>
  <c r="T68" i="11"/>
  <c r="U68" i="11"/>
  <c r="V68" i="11"/>
  <c r="W68" i="11"/>
  <c r="AK56" i="11"/>
  <c r="P56" i="11"/>
  <c r="Q56" i="11"/>
  <c r="R56" i="11"/>
  <c r="S56" i="11"/>
  <c r="T56" i="11"/>
  <c r="U56" i="11"/>
  <c r="V56" i="11"/>
  <c r="W56" i="11"/>
  <c r="AK32" i="11"/>
  <c r="P32" i="11"/>
  <c r="Q32" i="11"/>
  <c r="R32" i="11"/>
  <c r="S32" i="11"/>
  <c r="T32" i="11"/>
  <c r="U32" i="11"/>
  <c r="V32" i="11"/>
  <c r="W32" i="11"/>
  <c r="P65" i="11"/>
  <c r="AK65" i="11"/>
  <c r="Q65" i="11"/>
  <c r="R65" i="11"/>
  <c r="S65" i="11"/>
  <c r="T65" i="11"/>
  <c r="U65" i="11"/>
  <c r="V65" i="11"/>
  <c r="W65" i="11"/>
  <c r="P26" i="11"/>
  <c r="AK26" i="11"/>
  <c r="R26" i="11"/>
  <c r="Q26" i="11"/>
  <c r="S26" i="11"/>
  <c r="T26" i="11"/>
  <c r="U26" i="11"/>
  <c r="V26" i="11"/>
  <c r="W26" i="11"/>
  <c r="AK38" i="11"/>
  <c r="P38" i="11"/>
  <c r="R38" i="11"/>
  <c r="Q38" i="11"/>
  <c r="S38" i="11"/>
  <c r="T38" i="11"/>
  <c r="U38" i="11"/>
  <c r="V38" i="11"/>
  <c r="W38" i="11"/>
  <c r="AK74" i="11"/>
  <c r="P74" i="11"/>
  <c r="R74" i="11"/>
  <c r="Q74" i="11"/>
  <c r="S74" i="11"/>
  <c r="T74" i="11"/>
  <c r="U74" i="11"/>
  <c r="V74" i="11"/>
  <c r="W74" i="11"/>
  <c r="E216" i="12"/>
  <c r="K122" i="12"/>
  <c r="B122" i="13" s="1"/>
  <c r="C123" i="12"/>
  <c r="E217" i="12" l="1"/>
  <c r="C124" i="12"/>
  <c r="K123" i="12"/>
  <c r="B123" i="13" s="1"/>
  <c r="K124" i="12" l="1"/>
  <c r="B124" i="13" s="1"/>
  <c r="C125" i="12"/>
  <c r="E218" i="12" l="1"/>
  <c r="K125" i="12"/>
  <c r="C126" i="12"/>
  <c r="B125" i="13" l="1"/>
  <c r="L54" i="11"/>
  <c r="C127" i="12"/>
  <c r="K126" i="12"/>
  <c r="B126" i="13" s="1"/>
  <c r="E219" i="12" l="1"/>
  <c r="C128" i="12"/>
  <c r="K127" i="12"/>
  <c r="B127" i="13" s="1"/>
  <c r="E220" i="12" l="1"/>
  <c r="C129" i="12"/>
  <c r="K128" i="12"/>
  <c r="B128" i="13" s="1"/>
  <c r="E221" i="12" l="1"/>
  <c r="E222" i="12" s="1"/>
  <c r="E223" i="12" s="1"/>
  <c r="E224" i="12" s="1"/>
  <c r="E225" i="12" s="1"/>
  <c r="E226" i="12" s="1"/>
  <c r="I213" i="12" s="1"/>
  <c r="H153" i="12"/>
  <c r="B153" i="12" s="1"/>
  <c r="T153" i="12" s="1"/>
  <c r="U153" i="12" s="1"/>
  <c r="C130" i="12"/>
  <c r="K129" i="12"/>
  <c r="B129" i="13" s="1"/>
  <c r="H213" i="12" l="1"/>
  <c r="B213" i="12" s="1"/>
  <c r="T213" i="12" s="1"/>
  <c r="U213" i="12" s="1"/>
  <c r="I191" i="12"/>
  <c r="B191" i="12" s="1"/>
  <c r="T191" i="12" s="1"/>
  <c r="U191" i="12" s="1"/>
  <c r="I219" i="12"/>
  <c r="H219" i="12"/>
  <c r="K130" i="12"/>
  <c r="B130" i="13" s="1"/>
  <c r="C131" i="12"/>
  <c r="B219" i="12" l="1"/>
  <c r="T219" i="12" s="1"/>
  <c r="U219" i="12" s="1"/>
  <c r="K131" i="12"/>
  <c r="B131" i="13" s="1"/>
  <c r="C132" i="12"/>
  <c r="K132" i="12" l="1"/>
  <c r="B132" i="13" s="1"/>
  <c r="C133" i="12" l="1"/>
  <c r="C134" i="12" l="1"/>
  <c r="K133" i="12"/>
  <c r="B133" i="13" s="1"/>
  <c r="K134" i="12" l="1"/>
  <c r="B134" i="13" s="1"/>
  <c r="C135" i="12"/>
  <c r="K135" i="12" l="1"/>
  <c r="B135" i="13" s="1"/>
  <c r="C136" i="12"/>
  <c r="K136" i="12" l="1"/>
  <c r="B136" i="13" s="1"/>
  <c r="C137" i="12"/>
  <c r="K137" i="12" l="1"/>
  <c r="B137" i="13" s="1"/>
  <c r="C138" i="12" l="1"/>
  <c r="K138" i="12" l="1"/>
  <c r="B138" i="13" s="1"/>
  <c r="C139" i="12" l="1"/>
  <c r="C140" i="12" l="1"/>
  <c r="K139" i="12"/>
  <c r="B139" i="13" s="1"/>
  <c r="K140" i="12" l="1"/>
  <c r="B140" i="13" s="1"/>
  <c r="C141" i="12" l="1"/>
  <c r="K141" i="12" l="1"/>
  <c r="B141" i="13" s="1"/>
  <c r="C142" i="12"/>
  <c r="C143" i="12" l="1"/>
  <c r="K142" i="12"/>
  <c r="B142" i="13" l="1"/>
  <c r="L57" i="11"/>
  <c r="K143" i="12"/>
  <c r="B143" i="13" s="1"/>
  <c r="C144" i="12"/>
  <c r="K144" i="12" l="1"/>
  <c r="B144" i="13" s="1"/>
  <c r="C145" i="12" l="1"/>
  <c r="K145" i="12" l="1"/>
  <c r="B145" i="13" s="1"/>
  <c r="C146" i="12" l="1"/>
  <c r="K146" i="12" l="1"/>
  <c r="B146" i="13" s="1"/>
  <c r="C147" i="12" l="1"/>
  <c r="C148" i="12" l="1"/>
  <c r="K147" i="12"/>
  <c r="B147" i="13" s="1"/>
  <c r="K148" i="12" l="1"/>
  <c r="C149" i="12"/>
  <c r="B148" i="13" l="1"/>
  <c r="L60" i="11"/>
  <c r="K149" i="12"/>
  <c r="B149" i="13" s="1"/>
  <c r="C150" i="12"/>
  <c r="K150" i="12" l="1"/>
  <c r="B150" i="13" s="1"/>
  <c r="C151" i="12"/>
  <c r="C152" i="12" l="1"/>
  <c r="K151" i="12"/>
  <c r="B151" i="13" s="1"/>
  <c r="C153" i="12" l="1"/>
  <c r="K152" i="12"/>
  <c r="B152" i="13" l="1"/>
  <c r="L63" i="11"/>
  <c r="K153" i="12"/>
  <c r="B153" i="13" s="1"/>
  <c r="C154" i="12"/>
  <c r="K154" i="12" l="1"/>
  <c r="B154" i="13" s="1"/>
  <c r="C155" i="12"/>
  <c r="K155" i="12" l="1"/>
  <c r="B155" i="13" s="1"/>
  <c r="C156" i="12"/>
  <c r="K156" i="12" l="1"/>
  <c r="B156" i="13" s="1"/>
  <c r="C157" i="12" l="1"/>
  <c r="K157" i="12" l="1"/>
  <c r="B157" i="13" s="1"/>
  <c r="C158" i="12" l="1"/>
  <c r="C159" i="12" l="1"/>
  <c r="K158" i="12"/>
  <c r="B158" i="13" s="1"/>
  <c r="C160" i="12" l="1"/>
  <c r="K159" i="12"/>
  <c r="B159" i="13" s="1"/>
  <c r="C161" i="12" l="1"/>
  <c r="K160" i="12"/>
  <c r="B160" i="13" s="1"/>
  <c r="C162" i="12" l="1"/>
  <c r="K161" i="12"/>
  <c r="B161" i="13" s="1"/>
  <c r="K162" i="12" l="1"/>
  <c r="B162" i="13" s="1"/>
  <c r="C163" i="12"/>
  <c r="C164" i="12" l="1"/>
  <c r="K163" i="12"/>
  <c r="B163" i="13" s="1"/>
  <c r="K164" i="12" l="1"/>
  <c r="B164" i="13" s="1"/>
  <c r="C165" i="12"/>
  <c r="C166" i="12" l="1"/>
  <c r="K165" i="12"/>
  <c r="B165" i="13" s="1"/>
  <c r="K166" i="12" l="1"/>
  <c r="B166" i="13" s="1"/>
  <c r="C167" i="12" l="1"/>
  <c r="K167" i="12" l="1"/>
  <c r="B167" i="13" s="1"/>
  <c r="C168" i="12" l="1"/>
  <c r="K168" i="12" l="1"/>
  <c r="B168" i="13" s="1"/>
  <c r="C169" i="12" l="1"/>
  <c r="K169" i="12" l="1"/>
  <c r="B169" i="13" s="1"/>
  <c r="C170" i="12" l="1"/>
  <c r="K170" i="12" l="1"/>
  <c r="B170" i="13" s="1"/>
  <c r="C171" i="12" l="1"/>
  <c r="K171" i="12" l="1"/>
  <c r="B171" i="13" s="1"/>
  <c r="C172" i="12" l="1"/>
  <c r="K172" i="12" l="1"/>
  <c r="B172" i="13" s="1"/>
  <c r="C173" i="12" l="1"/>
  <c r="K173" i="12" l="1"/>
  <c r="B173" i="13" s="1"/>
  <c r="C174" i="12" l="1"/>
  <c r="K174" i="12" l="1"/>
  <c r="B174" i="13" s="1"/>
  <c r="C175" i="12"/>
  <c r="C176" i="12" l="1"/>
  <c r="K175" i="12"/>
  <c r="B175" i="13" s="1"/>
  <c r="K176" i="12" l="1"/>
  <c r="B176" i="13" s="1"/>
  <c r="C177" i="12" l="1"/>
  <c r="C178" i="12" l="1"/>
  <c r="K177" i="12"/>
  <c r="B177" i="13" s="1"/>
  <c r="C179" i="12" l="1"/>
  <c r="K178" i="12"/>
  <c r="B178" i="13" s="1"/>
  <c r="C180" i="12" l="1"/>
  <c r="K179" i="12"/>
  <c r="B179" i="13" s="1"/>
  <c r="K180" i="12" l="1"/>
  <c r="B180" i="13" s="1"/>
  <c r="C181" i="12"/>
  <c r="K181" i="12" l="1"/>
  <c r="B181" i="13" s="1"/>
  <c r="C182" i="12"/>
  <c r="K182" i="12" l="1"/>
  <c r="B182" i="13" s="1"/>
  <c r="C183" i="12"/>
  <c r="K183" i="12" l="1"/>
  <c r="B183" i="13" s="1"/>
  <c r="C184" i="12"/>
  <c r="K184" i="12" l="1"/>
  <c r="B184" i="13" s="1"/>
  <c r="C185" i="12"/>
  <c r="C186" i="12" l="1"/>
  <c r="K185" i="12"/>
  <c r="B185" i="13" s="1"/>
  <c r="K186" i="12" l="1"/>
  <c r="B186" i="13" s="1"/>
  <c r="C187" i="12"/>
  <c r="C188" i="12" l="1"/>
  <c r="K187" i="12"/>
  <c r="B187" i="13" s="1"/>
  <c r="K188" i="12" l="1"/>
  <c r="B188" i="13" s="1"/>
  <c r="C189" i="12" l="1"/>
  <c r="K189" i="12" l="1"/>
  <c r="B189" i="13" s="1"/>
  <c r="C190" i="12" l="1"/>
  <c r="K190" i="12" l="1"/>
  <c r="B190" i="13" s="1"/>
  <c r="C191" i="12" l="1"/>
  <c r="C192" i="12" l="1"/>
  <c r="K191" i="12"/>
  <c r="B191" i="13" s="1"/>
  <c r="K192" i="12" l="1"/>
  <c r="B192" i="13" s="1"/>
  <c r="C193" i="12" l="1"/>
  <c r="K193" i="12" l="1"/>
  <c r="B193" i="13" s="1"/>
  <c r="C194" i="12" l="1"/>
  <c r="C195" i="12" l="1"/>
  <c r="K194" i="12"/>
  <c r="B194" i="13" s="1"/>
  <c r="C196" i="12" l="1"/>
  <c r="K195" i="12"/>
  <c r="B195" i="13" s="1"/>
  <c r="C197" i="12" l="1"/>
  <c r="K196" i="12"/>
  <c r="B196" i="13" s="1"/>
  <c r="K197" i="12" l="1"/>
  <c r="B197" i="13" s="1"/>
  <c r="C198" i="12" l="1"/>
  <c r="K198" i="12" l="1"/>
  <c r="B198" i="13" s="1"/>
  <c r="C199" i="12" l="1"/>
  <c r="K199" i="12" l="1"/>
  <c r="B199" i="13" s="1"/>
  <c r="C200" i="12" l="1"/>
  <c r="K200" i="12" l="1"/>
  <c r="B200" i="13" s="1"/>
  <c r="C201" i="12" l="1"/>
  <c r="K201" i="12" l="1"/>
  <c r="B201" i="13" s="1"/>
  <c r="C202" i="12" l="1"/>
  <c r="K202" i="12" l="1"/>
  <c r="B202" i="13" s="1"/>
  <c r="C203" i="12"/>
  <c r="C204" i="12" l="1"/>
  <c r="K203" i="12"/>
  <c r="B203" i="13" l="1"/>
  <c r="L66" i="11"/>
  <c r="K204" i="12"/>
  <c r="B204" i="13" s="1"/>
  <c r="C205" i="12" l="1"/>
  <c r="K205" i="12" l="1"/>
  <c r="B205" i="13" s="1"/>
  <c r="C206" i="12" l="1"/>
  <c r="K206" i="12" l="1"/>
  <c r="B206" i="13" s="1"/>
  <c r="C207" i="12" l="1"/>
  <c r="C208" i="12" l="1"/>
  <c r="K207" i="12"/>
  <c r="B207" i="13" s="1"/>
  <c r="K208" i="12" l="1"/>
  <c r="B208" i="13" s="1"/>
  <c r="C209" i="12" l="1"/>
  <c r="K209" i="12" l="1"/>
  <c r="B209" i="13" s="1"/>
  <c r="C210" i="12" l="1"/>
  <c r="K210" i="12" l="1"/>
  <c r="B210" i="13" s="1"/>
  <c r="C211" i="12" l="1"/>
  <c r="K211" i="12" l="1"/>
  <c r="B211" i="13" s="1"/>
  <c r="C212" i="12"/>
  <c r="K212" i="12" l="1"/>
  <c r="C213" i="12"/>
  <c r="B212" i="13" l="1"/>
  <c r="L69" i="11"/>
  <c r="K213" i="12"/>
  <c r="B213" i="13" s="1"/>
  <c r="C214" i="12"/>
  <c r="K214" i="12" l="1"/>
  <c r="B214" i="13" s="1"/>
  <c r="C215" i="12"/>
  <c r="K215" i="12" l="1"/>
  <c r="B215" i="13" s="1"/>
  <c r="C216" i="12"/>
  <c r="C217" i="12" l="1"/>
  <c r="K216" i="12"/>
  <c r="B216" i="13" s="1"/>
  <c r="K217" i="12" l="1"/>
  <c r="B217" i="13" s="1"/>
  <c r="C218" i="12" l="1"/>
  <c r="K218" i="12" l="1"/>
  <c r="B218" i="13" s="1"/>
  <c r="C219" i="12" l="1"/>
  <c r="K219" i="12" l="1"/>
  <c r="B219" i="13" s="1"/>
  <c r="C220" i="12"/>
  <c r="K220" i="12" l="1"/>
  <c r="B220" i="13" s="1"/>
  <c r="C221" i="12" l="1"/>
  <c r="K221" i="12" l="1"/>
  <c r="B221" i="13" s="1"/>
  <c r="C222" i="12"/>
  <c r="C223" i="12" l="1"/>
  <c r="K222" i="12"/>
  <c r="B222" i="13" s="1"/>
  <c r="K223" i="12" l="1"/>
  <c r="B223" i="13" s="1"/>
  <c r="C224" i="12" l="1"/>
  <c r="K224" i="12" l="1"/>
  <c r="B224" i="13" s="1"/>
  <c r="C225" i="12" l="1"/>
  <c r="C226" i="12" l="1"/>
  <c r="K225" i="12"/>
  <c r="B225" i="13" l="1"/>
  <c r="L72" i="11"/>
  <c r="K226" i="12"/>
  <c r="B226" i="13" s="1"/>
  <c r="I13" i="12"/>
  <c r="H13" i="12"/>
  <c r="B13" i="12" l="1"/>
  <c r="B12" i="12" s="1"/>
  <c r="T13" i="12" l="1"/>
  <c r="K20" i="11" s="1"/>
  <c r="N18" i="11" s="1"/>
  <c r="AE20" i="11" l="1"/>
  <c r="AD20" i="11"/>
  <c r="AC20" i="11"/>
  <c r="AB20" i="11"/>
  <c r="AA20" i="11"/>
  <c r="Z20" i="11"/>
  <c r="Y20" i="11"/>
  <c r="X20" i="11"/>
  <c r="U13" i="12"/>
  <c r="U5" i="12" s="1"/>
  <c r="Q20" i="11"/>
  <c r="P20" i="11"/>
  <c r="P17" i="11" s="1"/>
  <c r="S20" i="11"/>
  <c r="S17" i="11" s="1"/>
  <c r="V20" i="11"/>
  <c r="T20" i="11"/>
  <c r="U20" i="11"/>
  <c r="R20" i="11"/>
  <c r="R17" i="11" s="1"/>
  <c r="W20" i="11"/>
  <c r="AK20" i="11"/>
  <c r="AK17" i="11" s="1"/>
  <c r="X17" i="11" l="1"/>
  <c r="X19" i="11"/>
  <c r="Y19" i="11"/>
  <c r="Y18" i="11" s="1"/>
  <c r="Y17" i="11"/>
  <c r="Z19" i="11"/>
  <c r="Z18" i="11" s="1"/>
  <c r="Z17" i="11"/>
  <c r="AA19" i="11"/>
  <c r="AA18" i="11" s="1"/>
  <c r="AA17" i="11"/>
  <c r="AB17" i="11"/>
  <c r="AB19" i="11"/>
  <c r="AC17" i="11"/>
  <c r="AC19" i="11"/>
  <c r="AD17" i="11"/>
  <c r="AD19" i="11"/>
  <c r="AE19" i="11"/>
  <c r="AE18" i="11" s="1"/>
  <c r="AE17" i="11"/>
  <c r="W17" i="11"/>
  <c r="W16" i="11" s="1"/>
  <c r="W19" i="11"/>
  <c r="U17" i="11"/>
  <c r="U16" i="11" s="1"/>
  <c r="U19" i="11"/>
  <c r="T17" i="11"/>
  <c r="T15" i="11" s="1"/>
  <c r="T14" i="11" s="1"/>
  <c r="T19" i="11"/>
  <c r="V17" i="11"/>
  <c r="V16" i="11" s="1"/>
  <c r="V19" i="11"/>
  <c r="Q17" i="11"/>
  <c r="R15" i="11" s="1"/>
  <c r="R14" i="11" s="1"/>
  <c r="Q19" i="11"/>
  <c r="S15" i="11"/>
  <c r="S14" i="11" s="1"/>
  <c r="S16" i="11"/>
  <c r="AK15" i="11"/>
  <c r="AK14" i="11" s="1"/>
  <c r="AK16" i="11"/>
  <c r="P16" i="11"/>
  <c r="P15" i="11"/>
  <c r="P14" i="11" s="1"/>
  <c r="R16" i="11"/>
  <c r="AB18" i="11" l="1"/>
  <c r="V18" i="11"/>
  <c r="AC18" i="11"/>
  <c r="AC16" i="11"/>
  <c r="AC15" i="11"/>
  <c r="AC14" i="11" s="1"/>
  <c r="AB16" i="11"/>
  <c r="AB15" i="11"/>
  <c r="AB14" i="11" s="1"/>
  <c r="AA15" i="11"/>
  <c r="AA14" i="11" s="1"/>
  <c r="AA16" i="11"/>
  <c r="Z15" i="11"/>
  <c r="Z14" i="11" s="1"/>
  <c r="Z16" i="11"/>
  <c r="Y15" i="11"/>
  <c r="Y14" i="11" s="1"/>
  <c r="Y16" i="11"/>
  <c r="AE15" i="11"/>
  <c r="AE14" i="11" s="1"/>
  <c r="AE16" i="11"/>
  <c r="AD18" i="11"/>
  <c r="X18" i="11"/>
  <c r="AD16" i="11"/>
  <c r="AD15" i="11"/>
  <c r="AD14" i="11" s="1"/>
  <c r="X15" i="11"/>
  <c r="X14" i="11" s="1"/>
  <c r="X16" i="11"/>
  <c r="U15" i="11"/>
  <c r="U14" i="11" s="1"/>
  <c r="W15" i="11"/>
  <c r="W14" i="11" s="1"/>
  <c r="U18" i="11"/>
  <c r="R19" i="11"/>
  <c r="L8" i="11"/>
  <c r="V15" i="11"/>
  <c r="V14" i="11" s="1"/>
  <c r="Q15" i="11"/>
  <c r="Q14" i="11" s="1"/>
  <c r="T16" i="11"/>
  <c r="Q16" i="11"/>
  <c r="W18" i="11"/>
  <c r="S19" i="11" l="1"/>
  <c r="R18" i="11"/>
  <c r="S18" i="11" l="1"/>
  <c r="T18" i="11"/>
  <c r="P19" i="11"/>
  <c r="Q18" i="11" s="1"/>
  <c r="AK19" i="11"/>
  <c r="AK18" i="11" s="1"/>
  <c r="P18" i="11" l="1"/>
</calcChain>
</file>

<file path=xl/sharedStrings.xml><?xml version="1.0" encoding="utf-8"?>
<sst xmlns="http://schemas.openxmlformats.org/spreadsheetml/2006/main" count="1577" uniqueCount="629">
  <si>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</si>
  <si>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</si>
  <si>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</si>
  <si>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</si>
  <si>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</si>
  <si>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</si>
  <si>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</si>
  <si>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</si>
  <si>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</si>
  <si>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</si>
  <si>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</si>
  <si>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</si>
  <si>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</si>
  <si>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</si>
  <si>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</si>
  <si>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</si>
  <si>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</si>
  <si>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</si>
  <si>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</si>
  <si>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</si>
  <si>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</si>
  <si>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</si>
  <si>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</si>
  <si>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</si>
  <si>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</si>
  <si>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</si>
  <si>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</si>
  <si>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</si>
  <si>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</si>
  <si>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</si>
  <si>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</si>
  <si>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</si>
  <si>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</si>
  <si>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</si>
  <si>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</si>
  <si>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</si>
  <si>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</si>
  <si>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</si>
  <si>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</si>
  <si>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</si>
  <si>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</si>
  <si>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</si>
  <si>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</si>
  <si>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</si>
  <si>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</si>
  <si>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</si>
  <si>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</si>
  <si>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</si>
  <si>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</si>
  <si>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</si>
  <si>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</si>
  <si>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</si>
  <si>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</si>
  <si>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</si>
  <si>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</si>
  <si>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</si>
  <si>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</si>
  <si>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</si>
  <si>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</si>
  <si>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</si>
  <si>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</si>
  <si>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</si>
  <si>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</si>
  <si>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</si>
  <si>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</si>
  <si>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</si>
  <si>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</si>
  <si>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</si>
  <si>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</si>
  <si>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</si>
  <si>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</si>
  <si>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</si>
  <si>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</si>
  <si>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</si>
  <si>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</si>
  <si>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</si>
  <si>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</si>
  <si>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</si>
  <si>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</si>
  <si>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</si>
  <si>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</si>
  <si>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</si>
  <si>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</si>
  <si>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</si>
  <si>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</si>
  <si>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</si>
  <si>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</si>
  <si>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</si>
  <si>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</si>
  <si>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</si>
  <si>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</si>
  <si>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</si>
  <si>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</si>
  <si>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</si>
  <si>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</si>
  <si>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</si>
  <si>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</si>
  <si>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</si>
  <si>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</si>
  <si>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</si>
  <si>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</si>
  <si>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</si>
  <si>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</si>
  <si>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</si>
  <si>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</si>
  <si>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</si>
  <si>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</si>
  <si>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</si>
  <si>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</si>
  <si>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</si>
  <si>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</si>
  <si>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</si>
  <si>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</si>
  <si>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</si>
  <si>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</si>
  <si>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</si>
  <si>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</si>
  <si>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</si>
  <si>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</si>
  <si>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</si>
  <si>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</si>
  <si>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</si>
  <si>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</si>
  <si>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</si>
  <si>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</si>
  <si>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</si>
  <si>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</si>
  <si>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</si>
  <si>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</si>
  <si>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</si>
  <si>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</si>
  <si>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</si>
  <si>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</si>
  <si>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</si>
  <si>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</si>
  <si>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</si>
  <si>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</si>
  <si>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</si>
  <si>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</si>
  <si>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</si>
  <si>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</si>
  <si>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</si>
  <si>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</si>
  <si>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</si>
  <si>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</si>
  <si>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</si>
  <si>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</si>
  <si>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</si>
  <si>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</si>
  <si>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</si>
  <si>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</si>
  <si>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</si>
  <si>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</si>
  <si>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</si>
  <si>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</si>
  <si>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</si>
  <si>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</si>
  <si>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</si>
  <si>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</si>
  <si>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</si>
  <si>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</si>
  <si>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</si>
  <si>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</si>
  <si>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</si>
  <si>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</si>
  <si>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</si>
  <si>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</si>
  <si>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</si>
  <si>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</si>
  <si>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</si>
  <si>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</si>
  <si>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</si>
  <si>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</si>
  <si>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</si>
  <si>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</si>
  <si>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</si>
  <si>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</si>
  <si>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</si>
  <si>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</si>
  <si>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</si>
  <si>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</si>
  <si>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</si>
  <si>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</si>
  <si>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</si>
  <si>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</si>
  <si>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</si>
  <si>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</si>
  <si>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</si>
  <si>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</si>
  <si>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</si>
  <si>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</si>
  <si>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</si>
  <si>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</si>
  <si>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</si>
  <si>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</si>
  <si>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</si>
  <si>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</si>
  <si>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</si>
  <si>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</si>
  <si>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</si>
  <si>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</si>
  <si>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</si>
  <si>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</si>
  <si>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</si>
  <si>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</si>
  <si>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</si>
  <si>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</si>
  <si>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</si>
  <si>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</si>
  <si>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</si>
  <si>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</si>
  <si>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</si>
  <si>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</si>
  <si>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</si>
  <si>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</si>
  <si>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</si>
  <si>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</si>
  <si>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</si>
  <si>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</si>
  <si>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</si>
  <si>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</si>
  <si>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</si>
  <si>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</si>
  <si>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</si>
  <si>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</si>
  <si>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</si>
  <si>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</si>
  <si>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</si>
  <si>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</si>
  <si>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Projeto Mãos Dadas</t>
  </si>
  <si>
    <t>Município de Presidente Olegário</t>
  </si>
  <si>
    <t>Única</t>
  </si>
  <si>
    <t>Presidente Olegário / MG</t>
  </si>
  <si>
    <t xml:space="preserve">Construção de escola no Distrito de São Pedro da Ponte Firme </t>
  </si>
  <si>
    <t>Rua Maria Vitória Damasceno, s/n, Distrito de São Pedro da Ponte Firme, Presidente Olegário, MG</t>
  </si>
  <si>
    <t>NÃO</t>
  </si>
  <si>
    <t>SEE/MG</t>
  </si>
  <si>
    <t>1261000118/2022</t>
  </si>
  <si>
    <t>Construção de unidade escolar</t>
  </si>
  <si>
    <t>Sim</t>
  </si>
  <si>
    <t>Rhenys da Silva Cambraia</t>
  </si>
  <si>
    <t>Prefeito Municipal</t>
  </si>
  <si>
    <t>SERVIÇOS PRELIMINARES</t>
  </si>
  <si>
    <t>Fornecimento e colocação de placa dos serviços de engenharia em chapa galvanizada (3,00 X 1,50m)   -  Governo do Estado  -  (Ampliação e / ou Reforma acima de R$ 30.000,00)</t>
  </si>
  <si>
    <t>Tapume em chapa compensado de 6mm e pontaletes h= 2,20m com portão.</t>
  </si>
  <si>
    <t>Ligação provisória de luz e força - instalação mínima</t>
  </si>
  <si>
    <t>Ligação provisória de água e esgoto a rede pública para obra - instalação mínima</t>
  </si>
  <si>
    <t>Barracão  em madeira, piso cimentado e cobertura em telhas de fibrocimento ondulada para instalação sanitária.</t>
  </si>
  <si>
    <t>Barracão em madeira, piso cimentado e cobertura em telhas de fibrocimento ondulada</t>
  </si>
  <si>
    <t>Locação dos serviços de engenharia: execução de gabarito</t>
  </si>
  <si>
    <t>Limpeza do terreno, raspagem, capina e queima manual</t>
  </si>
  <si>
    <t>010001</t>
  </si>
  <si>
    <t>010002</t>
  </si>
  <si>
    <t>010003</t>
  </si>
  <si>
    <t>010004</t>
  </si>
  <si>
    <t>010005</t>
  </si>
  <si>
    <t>010006</t>
  </si>
  <si>
    <t>010007</t>
  </si>
  <si>
    <t>010008</t>
  </si>
  <si>
    <t>UN</t>
  </si>
  <si>
    <t>M²</t>
  </si>
  <si>
    <t>MOVIMENTO DE TERRAS PARA FUNDAÇÃO</t>
  </si>
  <si>
    <t>Aterro Compactado manual, com soquete</t>
  </si>
  <si>
    <t>Escavação  manual de vala em solo de 1ª e 2ª categoria, profundidade em até 2,00m</t>
  </si>
  <si>
    <t>Regularização de fundo de vala com apiloamento com maço de 30kg</t>
  </si>
  <si>
    <t>Reaterro manual de vala apiloado</t>
  </si>
  <si>
    <t>020001</t>
  </si>
  <si>
    <t>020002</t>
  </si>
  <si>
    <t>020003</t>
  </si>
  <si>
    <t>020004</t>
  </si>
  <si>
    <t>M³</t>
  </si>
  <si>
    <t>FUNDAÇÕES</t>
  </si>
  <si>
    <t>CONCRETO ARMADO PARA FUNDAÇÕES</t>
  </si>
  <si>
    <t>030001</t>
  </si>
  <si>
    <t>Execução de estaca broca c/ trado manual de 25 cm de diâmetro completa.</t>
  </si>
  <si>
    <t>M</t>
  </si>
  <si>
    <t>030002</t>
  </si>
  <si>
    <t>Lastro de concreto não estrutural impermeabilizado, E=6 cm</t>
  </si>
  <si>
    <t>030003</t>
  </si>
  <si>
    <t xml:space="preserve">Fôrma de madeira para fundação, com tábuas e sarrafos, 3 aproveitamentos e desforma </t>
  </si>
  <si>
    <t>CONCRETO ARMADO PARA FUNDAÇÕES - VIGAS BALDRAMES</t>
  </si>
  <si>
    <t>030004</t>
  </si>
  <si>
    <t>030005</t>
  </si>
  <si>
    <t>KG</t>
  </si>
  <si>
    <t>030006</t>
  </si>
  <si>
    <t>Concreto estrutural virado no local, consistência para vibração, brita 1 e 2, FCK 25 MPA e lançamento em estrutura</t>
  </si>
  <si>
    <t>CONCRETO ARMADO PARA FUNDAÇÕES - BASE DA CAIXA D'ÁGUA</t>
  </si>
  <si>
    <t>030007</t>
  </si>
  <si>
    <t>030008</t>
  </si>
  <si>
    <t>030009</t>
  </si>
  <si>
    <t>030010</t>
  </si>
  <si>
    <t xml:space="preserve">Armadura de aço, CA 50, corte e dobra no canteiro                                                                                                                    </t>
  </si>
  <si>
    <t>M3</t>
  </si>
  <si>
    <t>SUPERESTRUTURA</t>
  </si>
  <si>
    <t>CONCRETO ARMADO - VIGAS</t>
  </si>
  <si>
    <t>040001</t>
  </si>
  <si>
    <t>Fornecimento, transporte, execução de Fôrma  de madeira maciça, 3 aproveitamentos, inclusive desforma para VIGAS</t>
  </si>
  <si>
    <t>040002</t>
  </si>
  <si>
    <t>Armadura de aço p/ vigas e pilares  CA-50, corte e dobra no canteiro</t>
  </si>
  <si>
    <t>040003</t>
  </si>
  <si>
    <t>CONCRETO ARMADO - LAJES E PILARES</t>
  </si>
  <si>
    <t>040004</t>
  </si>
  <si>
    <t>Fornecimento, transporte, execução de Fôrma  de madeira maciça, 3 aproveitamentos, inclusive desforma para PILARES</t>
  </si>
  <si>
    <t>040005</t>
  </si>
  <si>
    <t>040006</t>
  </si>
  <si>
    <t>CONCRETO ARMADO - LAJES DE FORRO</t>
  </si>
  <si>
    <t>040007</t>
  </si>
  <si>
    <t>Laje pré-fabricada comum para forro, intereixo 38 cm e=12cm (capeamento 5 cm e elemento cerâmico 8 cm) sobrecarga mínima 100 Kgf / m²</t>
  </si>
  <si>
    <t>CONCRETO ARMADO - VERGAS E CONTRAVERGAS</t>
  </si>
  <si>
    <t>040008</t>
  </si>
  <si>
    <t>Vergas ou contravergas retas em concreto armado Fck 20 Mpa</t>
  </si>
  <si>
    <t>SISTEMA DE VEDAÇÃO VERTICAL</t>
  </si>
  <si>
    <t>050001</t>
  </si>
  <si>
    <t>Alvenaria de vedação com bloco de concreto, 9x19x39 cm, espessura da parede 9 cm, juntas de 10mm com argamassa mista de cimento, cal hidratada e areia sem peneirar traço 1:0,5:8</t>
  </si>
  <si>
    <t>050002</t>
  </si>
  <si>
    <t>Divisória de granito cinza andorinha (incluindo todas as ferragens em latão cromado), e = 3cm</t>
  </si>
  <si>
    <t>M2</t>
  </si>
  <si>
    <t>060000</t>
  </si>
  <si>
    <t>ESQUADRIAS</t>
  </si>
  <si>
    <t>PORTAS DE MADEIRA</t>
  </si>
  <si>
    <t>060001</t>
  </si>
  <si>
    <t>Porta interna de madeira, colocação e acabamento, de uma folha com batente, guarnição e ferragem, 0,80x2,10m (porta completa)</t>
  </si>
  <si>
    <t>UND</t>
  </si>
  <si>
    <t>060002</t>
  </si>
  <si>
    <t xml:space="preserve">Porta interna de madeira, colocação e acabamento, de uma folha com batente, guarnição e ferragem, 0,60x2,10m (porta completa) </t>
  </si>
  <si>
    <t>FERRAGEM E ACESSÓRIOS</t>
  </si>
  <si>
    <t>060003</t>
  </si>
  <si>
    <t>Barra apoio deficiente tubo em aço inox 1 1/4" L=80cm para apoio de lavatório</t>
  </si>
  <si>
    <t>060004</t>
  </si>
  <si>
    <t>Porta de alumínio sob encomenda, de abrir ou correr, colocação e acabamento com uma ou duas folhas</t>
  </si>
  <si>
    <t>060005</t>
  </si>
  <si>
    <t>Janela de alumínio sob encomenda, colocação e acabamento , basculante, com contramarcos.</t>
  </si>
  <si>
    <t>060006</t>
  </si>
  <si>
    <t>Tela de nylon tipo mosquiteiro com moldura em madeira.</t>
  </si>
  <si>
    <t>060007</t>
  </si>
  <si>
    <t>Cristal comum liso, colocado em caixilho com ou sem baguetes, duas demãos de massa  e=4mm</t>
  </si>
  <si>
    <t>Und</t>
  </si>
  <si>
    <t>FABRICAÇÃO E INSTALAÇÃO DE TESOURA INTEIRA EM MADEIRA NÃO APARELHADA, VÃO DE 8 M, PARA TELHA CERÂMICA OU DE CONCRETO, INCLUSO IÇAMENTO.</t>
  </si>
  <si>
    <t>FABRICAÇÃO E INSTALAÇÃO DE TESOURA INTEIRA EM MADEIRA NÃO APARELHADA, VÃO DE 7 M, PARA TELHA CERÂMICA OU DE CONCRETO, INCLUSO IÇAMENTO.</t>
  </si>
  <si>
    <t>FABRICAÇÃO E INSTALAÇÃO DE TESOURA INTEIRA EM MADEIRA NÃO APARELHADA, VÃO DE 6 M, PARA TELHA CERÂMICA OU DE CONCRETO, INCLUSO IÇAMENTO.</t>
  </si>
  <si>
    <t>FABRICAÇÃO E INSTALAÇÃO DE TESOURA INTEIRA EM MADEIRA NÃO APARELHADA, VÃO DE 4 M, PARA TELHA CERÂMICA OU DE CONCRETO, INCLUSO IÇAMENTO.</t>
  </si>
  <si>
    <t>TRAMA DE MADEIRA COMPOSTA POR RIPAS, CAIBROS E TERÇAS PARA TELHADOS DE MAIS QUE 2 ÁGUAS PARA TELHA DE ENCAIXE DE CERÂMICA OU DE CONCRETO, INCLUSO TRANSPORTE VERTICAL.</t>
  </si>
  <si>
    <t>COBERTURA E FORRO</t>
  </si>
  <si>
    <t>060013</t>
  </si>
  <si>
    <t>Cerâmica romana, inclinação 35% (m² = área de projeção do telhado x 1,08)</t>
  </si>
  <si>
    <t>060014</t>
  </si>
  <si>
    <t>92550</t>
  </si>
  <si>
    <t>SINAPI</t>
  </si>
  <si>
    <t>92549</t>
  </si>
  <si>
    <t>92548</t>
  </si>
  <si>
    <t>92546</t>
  </si>
  <si>
    <t>92540</t>
  </si>
  <si>
    <t>Fornecimento, transporte e colocação de cumeeira e espigão: Para telha cerâmica referência 3 unidades / m</t>
  </si>
  <si>
    <t>IMPERMEABILIZAÇÃO, REVESTIMENTOS INTERNOS E INTERNOS</t>
  </si>
  <si>
    <t>070001</t>
  </si>
  <si>
    <t>Impermeabilizações de fundações em concreto ou alvenaria de embasamento com aplicação de tinta betuminosa</t>
  </si>
  <si>
    <t>070002</t>
  </si>
  <si>
    <t>Chapisco com argamassa 1:3 cimento e areia, a colher</t>
  </si>
  <si>
    <t>070003</t>
  </si>
  <si>
    <t>Emboço com argamassa 1:6 cimento e areia lavada média peneirada, para paredes revestidas com tinta, e = 20mm</t>
  </si>
  <si>
    <t>070004</t>
  </si>
  <si>
    <t>Reboco com argamassa 1:2:8 cimento, cal e areia</t>
  </si>
  <si>
    <t>070005</t>
  </si>
  <si>
    <t>Revestimento com cerâmica aplicado em parede, acabamento esmaltado, ambiente interno/externo, padrão extra, cor branca, dimensão da peça até 2.025cm², PEI III, assentamento com argamassa industrializada, inclusive rejuntamento</t>
  </si>
  <si>
    <t>PAVIMENTAÇÃO INTERNA</t>
  </si>
  <si>
    <t>080001</t>
  </si>
  <si>
    <t>Lastro de concreto (contra-piso) não estrutural impermeabilizado, E=6 cm</t>
  </si>
  <si>
    <t>080002</t>
  </si>
  <si>
    <t>Piso cimentado com argamassa de cimento e areia sem peneirar, traço 1:3, e=2,5cm</t>
  </si>
  <si>
    <t>080003</t>
  </si>
  <si>
    <t>Revestimento com cerâmica aplicado em piso, acabamento esmaltado, ambiente interno, padrão extra, cor branca, dimensão da peça até 2.025cm², PEI V, assentamento com argamassa industrializada, inclusive rejuntamento</t>
  </si>
  <si>
    <t>080004</t>
  </si>
  <si>
    <t>Placa podotátil de alerta, de borracha e = 5 mm assentada com cola</t>
  </si>
  <si>
    <t>080005</t>
  </si>
  <si>
    <t>Soleira ou peitoril de granito cinza andorinha e=2cm</t>
  </si>
  <si>
    <t>PAVIMENTAÇÃO EXTERNA</t>
  </si>
  <si>
    <t>080006</t>
  </si>
  <si>
    <t>Passeio de concreto e= 8 cm, fck 15 Mpa, c/ preparo p/ terreno, incluindo preparo de caixa, sem revestimento com argamassa de cimento e areia</t>
  </si>
  <si>
    <t>080007</t>
  </si>
  <si>
    <t>Meio-fio de concreto pré-moldado (12 X 16,7 X 35) cm, inclusive escavação e reaterro</t>
  </si>
  <si>
    <t>080008</t>
  </si>
  <si>
    <t>Colchão de brita para estacionamento (lastro de brita 3 e 4 apiloado manualmente com maço de 30kg)</t>
  </si>
  <si>
    <t>PAVIMENTAÇÃO INTERNA E EXTERNA</t>
  </si>
  <si>
    <t>PINTURAS E ACABAMENTOS</t>
  </si>
  <si>
    <t>090001</t>
  </si>
  <si>
    <t>Emassamento de parede interna com massa corrida à base de PVA com duas demãos, para pintura látex</t>
  </si>
  <si>
    <t>090002</t>
  </si>
  <si>
    <t>Látex PVA em parede interna (2 demãos), com fundo preparador / selador</t>
  </si>
  <si>
    <t>PINTURA COM TINTA ALQUÍDICA DE ACABAMENTO (ESMALTE SINTÉTICO ACETINADO ) APLICADA A ROLO OU PINCEL SOBRE SUPERFÍCIES METÁLICAS (EXCETO PERFIL ) EXECUTADO EM OBRA (POR DEMÃO). AF_01/2020</t>
  </si>
  <si>
    <t>090004</t>
  </si>
  <si>
    <t>Verniz em esquadrias de madeira com duas demãos</t>
  </si>
  <si>
    <t>100742</t>
  </si>
  <si>
    <t>INSTALAÇÕES HIDRÁULICAS</t>
  </si>
  <si>
    <t>100001</t>
  </si>
  <si>
    <t>Tubo PVC soldável  20mm (com conexões), incluindo serviços de rasgo e enchimento de rasgo em alvenaria com argamassa para passagem de tubulação</t>
  </si>
  <si>
    <t>100002</t>
  </si>
  <si>
    <t>Tubo PVC soldável  25mm (com conexões), incluindo serviços de rasgo e enchimento de rasgo em alvenaria com argamassa para passagem de tubulação</t>
  </si>
  <si>
    <t>100003</t>
  </si>
  <si>
    <t>Tubo PVC soldável  32mm (com conexões), incluindo serviços de rasgo e enchimento de rasgo em alvenaria com argamassa para passagem de tubulação</t>
  </si>
  <si>
    <t>100004</t>
  </si>
  <si>
    <t>Tubo PVC soldável  40mm (com conexões), incluindo serviços de rasgo e enchimento de rasgo em alvenaria com argamassa para passagem de tubulação</t>
  </si>
  <si>
    <t>100005</t>
  </si>
  <si>
    <t>Tubo PVC soldável  50mm (com conexões), incluindo serviços de rasgo e enchimento de rasgo em alvenaria com argamassa para passagem de tubulação</t>
  </si>
  <si>
    <t>100006</t>
  </si>
  <si>
    <t>Tubo PVC soldável  60mm (com conexões), incluindo serviços de rasgo e enchimento de rasgo em alvenaria com argamassa para passagem de tubulação</t>
  </si>
  <si>
    <t>100007</t>
  </si>
  <si>
    <t>Fornecimento, transporte e instalação de reservatório d´água: Em fibra de vidro cilíndrico com tampa, capacidade 15.000 litros</t>
  </si>
  <si>
    <t>INSTALAÇÕES SANITÁRIAS</t>
  </si>
  <si>
    <t>Fornecimento,transporte e instalação de tubulação em PVC esgoto diâmetros descritos:</t>
  </si>
  <si>
    <t>110001</t>
  </si>
  <si>
    <t>Diâmetro de 40 mm</t>
  </si>
  <si>
    <t>110002</t>
  </si>
  <si>
    <t xml:space="preserve">Diâmetro de 50 mm </t>
  </si>
  <si>
    <t>110003</t>
  </si>
  <si>
    <t>Diâmetro de 100 mm</t>
  </si>
  <si>
    <t>110004</t>
  </si>
  <si>
    <t>Diâmetro de 150 mm</t>
  </si>
  <si>
    <t>110005</t>
  </si>
  <si>
    <t>Fornecimento e instalação de caixa sifonada: Em PVC, com grelha quadrada/redonda,150x150x75mm</t>
  </si>
  <si>
    <t>110006</t>
  </si>
  <si>
    <t>Ralo Seco PVC quadrado 100 X 40mm com grelha branca</t>
  </si>
  <si>
    <t>110007</t>
  </si>
  <si>
    <t>Caixa de Inspeção ou passagem em alvenaria  60 X 60 X 60 cm, inclusive tampa em concreto, escavação, reaterro e bota-fora</t>
  </si>
  <si>
    <t>110008</t>
  </si>
  <si>
    <t>Caixa de gordura préfabricada simples volume de 120 litros.</t>
  </si>
  <si>
    <t>FOSSAS, FILTROS, CAIXAS E SUMIDOUROS</t>
  </si>
  <si>
    <t>110009</t>
  </si>
  <si>
    <t>Fossa séptica L=3,80m execução in-loco volume útil 9,58m³ (226 contribuintes por turno)</t>
  </si>
  <si>
    <t>110010</t>
  </si>
  <si>
    <t>Execução filtro anaeróbio; Filtro anaeróbio DN 1,50m H 2,00m</t>
  </si>
  <si>
    <t>110011</t>
  </si>
  <si>
    <t>Sumidouro (poço absorvente) DN 2,50m</t>
  </si>
  <si>
    <t>110012</t>
  </si>
  <si>
    <t>Canaleta em tubo de concreto meia-cana para águas pluviais Ø 300 mm</t>
  </si>
  <si>
    <t>110013</t>
  </si>
  <si>
    <t>Tampa de concreto pré-moldada perfurada para canaleta, largura 35 cm</t>
  </si>
  <si>
    <t>LOUÇAS ACESSÓRIOS E METAIS</t>
  </si>
  <si>
    <t>120001</t>
  </si>
  <si>
    <t>Ducha higiênica com registro para controle do fluxo de água 1/2"</t>
  </si>
  <si>
    <t>120002</t>
  </si>
  <si>
    <t>Vaso sanitário convencional branca.</t>
  </si>
  <si>
    <t>120003</t>
  </si>
  <si>
    <t>Válvula de descarga metálica com registro interno e canopla,D: 32mm (1 1/4") ou 40mm (1 1/2)</t>
  </si>
  <si>
    <t>120004</t>
  </si>
  <si>
    <t>Vaso sanitário com caixa acoplada branca.</t>
  </si>
  <si>
    <t>120005</t>
  </si>
  <si>
    <t>Mictório de louça individual (completo)</t>
  </si>
  <si>
    <t>120006</t>
  </si>
  <si>
    <t>Lavatório de louça de embutir (cuba), com torneira de pressão e acessórios.</t>
  </si>
  <si>
    <t>PAPELEIRA DE PAREDE EM METAL CROMADO SEM TAMPA, INCLUSO FIXAÇÃO. AF_01/2020</t>
  </si>
  <si>
    <t>120008</t>
  </si>
  <si>
    <t>120009</t>
  </si>
  <si>
    <t>Dispenser toalheiro em ABS para folhas de papel</t>
  </si>
  <si>
    <t>120010</t>
  </si>
  <si>
    <t xml:space="preserve">Dispenser saboneteira tipo dispenser, para refil de 800ml </t>
  </si>
  <si>
    <t>120011</t>
  </si>
  <si>
    <t>Tanque de louça com coluna</t>
  </si>
  <si>
    <t>CUBA DE EMBUTIR DE AÇO INOXIDÁVEL MÉDIA, INCLUSO VÁLVULA TIPO AMERICANA E SIFÃO TIPO GARRAFA EM METAL CROMADO - FORNECIMENTO E INSTALAÇÃO. AF_01/2020</t>
  </si>
  <si>
    <t>TORNEIRA CROMADA TUBO MÓVEL, DE MESA, 1/2 OU 3/4, PARA PIA DE COZINHA, PADRÃO ALTO - FORNECIMENTO E INSTALAÇÃO. AF_01/2020</t>
  </si>
  <si>
    <t>120014</t>
  </si>
  <si>
    <t>Torneira elétrica automática, 5400 W</t>
  </si>
  <si>
    <t>CHUVEIRO ELÉTRICO COMUM CORPO PLÁSTICO, TIPO DUCHA FORNECIMENTO E INSTALAÇÃO. AF_01/2020</t>
  </si>
  <si>
    <t>120016</t>
  </si>
  <si>
    <t>Torneira de pressão para uso geral, amarela, p/ jardim</t>
  </si>
  <si>
    <t>95544</t>
  </si>
  <si>
    <t>86936</t>
  </si>
  <si>
    <t>86909</t>
  </si>
  <si>
    <t>100860</t>
  </si>
  <si>
    <t>INSTALAÇÃO DE GÁS COMBUSTÍVEL</t>
  </si>
  <si>
    <t>130001</t>
  </si>
  <si>
    <t>Casa de gás em alvenaria para: 2 botijões de gás 45 Kg</t>
  </si>
  <si>
    <t>TUBO DE AÇO GALVANIZADO COM COSTURA, CLASSE MÉDIA, CONEXÃO ROSQUEADA, DN 20 (3/4"), INSTALADO EM RAMAIS E SUB-RAMAIS DE GÁS - FORNECIMENTO E INSTALAÇÃO. AF_10/2020</t>
  </si>
  <si>
    <t>COTOVELO EM BRONZE/LATÃO, DN 22 MM X 3/4", 90 GRAUS, SEM ANEL DE SOLDA , BOLSA X ROSCA F, INSTALADO EM RAMAL DE DISTRIBUIÇÃO FORNECIMENTO E INSTALAÇÃO. AF_01/2016</t>
  </si>
  <si>
    <t>PINTURA ANTICORROSIVA DE DUTO METÁLICO. AF_04/2018</t>
  </si>
  <si>
    <t>REGISTRO OU REGULADOR DE GÁS DE COZINHA - FORNECIMENTO E INSTALAÇÃO. AF_08/2021</t>
  </si>
  <si>
    <t>92688</t>
  </si>
  <si>
    <t>93078</t>
  </si>
  <si>
    <t>98397</t>
  </si>
  <si>
    <t>103029</t>
  </si>
  <si>
    <t>SISTEMA DE PROTEÇÃO CONTRA INCÊNDIO</t>
  </si>
  <si>
    <t>140001</t>
  </si>
  <si>
    <t>Extintor manual de pó químico seco ABC - capacidade de 6 kg</t>
  </si>
  <si>
    <t>140002</t>
  </si>
  <si>
    <t>Luminária autônoma de emergencia - LED</t>
  </si>
  <si>
    <t>140003</t>
  </si>
  <si>
    <t>Placa fotoluminescente de Orientação, salvamento e equipamentos - 380 X 190 mm</t>
  </si>
  <si>
    <t>INSTALAÇÕES ELÉTRICAS E TELEFÔNICAS 127v</t>
  </si>
  <si>
    <t>150001</t>
  </si>
  <si>
    <t>150002</t>
  </si>
  <si>
    <t>QUADRO DE DISTRIBUIÇÃO PARA TELEFONE N.2, 20X20X12CM EM CHAPA METALICA , DE EMBUTIR, SEM ACESSORIOS, PADRÃO TELEBRAS, FORNECIMENTO E INSTALAÇÃO. AF_11/2019</t>
  </si>
  <si>
    <t>QUADRO DE MEDIÇÃO GERAL DE ENERGIA COM 8 MEDIDORES - FORNECIMENTO E INSTALAÇÃO. AF_10/2020</t>
  </si>
  <si>
    <t>150005</t>
  </si>
  <si>
    <t>Fornecimento e instalação de disjuntor automático:</t>
  </si>
  <si>
    <t>Monopolar de 10  a 32 A</t>
  </si>
  <si>
    <t>150006</t>
  </si>
  <si>
    <t>Bipolar de 10 a 50 A</t>
  </si>
  <si>
    <t>150007</t>
  </si>
  <si>
    <t>Tripolar de 60 a 100 A</t>
  </si>
  <si>
    <t>150008</t>
  </si>
  <si>
    <t xml:space="preserve">Tripolar de 120A a 125A </t>
  </si>
  <si>
    <t>ELETRODUTOS E ACESSÓRIOS</t>
  </si>
  <si>
    <t>Fornecimento e colocação de mangueira PVC flexível corrugado:</t>
  </si>
  <si>
    <t>150009</t>
  </si>
  <si>
    <t>Diâmetro 25mm (3/4")</t>
  </si>
  <si>
    <t>150010</t>
  </si>
  <si>
    <t>Diâmetro 32mm (1")</t>
  </si>
  <si>
    <t>ELETRODUTO RÍGIDO ROSCÁVEL, PVC, DN 50 MM (1 1/2") - FORNECIMENTO E INSTALAÇÃO. AF_12/2015</t>
  </si>
  <si>
    <t>ELETRODUTO RÍGIDO ROSCÁVEL, PVC, DN 60 MM (2") - FORNECIMENTO E INSTALAÇÃO. AF_12/2015</t>
  </si>
  <si>
    <t>ELETRODUTO RÍGIDO ROSCÁVEL, PVC, DN 85 MM (3") - FORNECIMENTO E INSTALAÇÃO. AF_12/2015</t>
  </si>
  <si>
    <t>ELETRODUTO RÍGIDO ROSCÁVEL, PVC, DN 110 MM (4") - FORNECIMENTO E INSTALAÇÃO. AF_12/2015</t>
  </si>
  <si>
    <t>LUVA, EM FERRO GALVANIZADO, CONEXÃO ROSQUEADA, DN 40 (1 1/2"), INSTALADO EM REDE DE ALIMENTAÇÃO PARA SPRINKLER - FORNECIMENTO E INSTALAÇÃO.AF_10/2020</t>
  </si>
  <si>
    <t>LUVA, EM FERRO GALVANIZADO, CONEXÃO ROSQUEADA, DN 15 (1/2"), INSTALADO EM RAMAIS E SUB-RAMAIS DE GÁS - FORNECIMENTO E INSTALAÇÃO. AF_10/2020</t>
  </si>
  <si>
    <t>CAIXA DE PASSAGEM PARA TELEFONE 15X15X10CM (SOBREPOR), FORNECIMENTO E INSTALACAO. AF_11/2019</t>
  </si>
  <si>
    <t>150018</t>
  </si>
  <si>
    <t>Caixa de passagem 4"x 4" sem placa</t>
  </si>
  <si>
    <t>150019</t>
  </si>
  <si>
    <t>Caixa de passagem 4"x 2" sem placa</t>
  </si>
  <si>
    <t>CAIXA OCTOGONAL 3" X 3", PVC, INSTALADA EM LAJE - FORNECIMENTO E INSTALAÇÃO. AF_12/2015</t>
  </si>
  <si>
    <t>CABOS E FIOS (CONDUTORES)</t>
  </si>
  <si>
    <t>Fornecimento, transporte e instalação de cabos:</t>
  </si>
  <si>
    <t>150021</t>
  </si>
  <si>
    <t>150022</t>
  </si>
  <si>
    <t>150023</t>
  </si>
  <si>
    <t>150024</t>
  </si>
  <si>
    <t>150025</t>
  </si>
  <si>
    <t>150026</t>
  </si>
  <si>
    <t>150027</t>
  </si>
  <si>
    <t>150028</t>
  </si>
  <si>
    <t>150029</t>
  </si>
  <si>
    <t xml:space="preserve">Isolado em PVC seção 70 mm² </t>
  </si>
  <si>
    <t>CABO DE COBRE FLEXÍVEL ISOLADO, 95 MM², ANTI-CHAMA 450/750 V, PARA DISTRIBUIÇÃO - FORNECIMENTO E INSTALAÇÃO. AF_12/2015</t>
  </si>
  <si>
    <t>CABO DE COBRE FLEXÍVEL ISOLADO, 185 MM², ANTI-CHAMA 450/750 V, PARA DISTRIBUIÇÃO - FORNECIMENTO E INSTALAÇÃO. AF_12/2015</t>
  </si>
  <si>
    <t>CABO TELEFÔNICO CCI-50 2 PARES, SEM BLINDAGEM, INSTALADO EM DISTRIBUIÇÃO DE EDIFICAÇÃO RESIDENCIAL - FORNECIMENTO E INSTALAÇÃO. AF_11/2019</t>
  </si>
  <si>
    <t>ILUMINAÇÃO E TOMADAS</t>
  </si>
  <si>
    <t>150033</t>
  </si>
  <si>
    <t>Tomada universal 2 P+T</t>
  </si>
  <si>
    <t>TOMADA BAIXA DE EMBUTIR (1 MÓDULO), 2P+T 20 A, INCLUINDO SUPORTE E PLACA - FORNECIMENTO E INSTALAÇÃO. AF_12/2015</t>
  </si>
  <si>
    <t>150035</t>
  </si>
  <si>
    <t xml:space="preserve">Interruptor 01 tecla simples 10A - 250V </t>
  </si>
  <si>
    <t>150036</t>
  </si>
  <si>
    <t>02 teclas simples 10A - 250V</t>
  </si>
  <si>
    <t>150037</t>
  </si>
  <si>
    <t>03 teclas simples 10A - 250V</t>
  </si>
  <si>
    <t>INTERRUPTOR SIMPLES (1 MÓDULO) COM 1 TOMADA DE EMBUTIR 2P+T 10 A, INCLUINDO SUPORTE E PLACA - FORNECIMENTO E INSTALAÇÃO. AF_12/2015</t>
  </si>
  <si>
    <t>Placa cega 2x4''</t>
  </si>
  <si>
    <t>LUMINÁRIA FLUORESCENTE COMPLETA (2 X 32)W</t>
  </si>
  <si>
    <t>LUMINÁRIA FLUORESCENTE COMPLETA (2 X 16)W</t>
  </si>
  <si>
    <t>PROJETOR EM ALUMÍNIO, C/ LÂMPADA DE VAPOR METÁLICO E FOTOCÉLULA ATÉ 400W</t>
  </si>
  <si>
    <t>TOMADA DE REDE RJ45 - FORNECIMENTO E INSTALAÇÃO. AF_11/2019</t>
  </si>
  <si>
    <t>Quadro de distribuição de luz em chapa de aço de sobrepor ou embutir, até 12 divisões modulares</t>
  </si>
  <si>
    <t xml:space="preserve">Quadro de distribuição de luz em PVC de embutir, até 16 divisões modulares, dimensões externas 260 / 310 / 85mm       </t>
  </si>
  <si>
    <t>Isolado de PVC seção 1,5 mm2</t>
  </si>
  <si>
    <t xml:space="preserve">Isolado de PVC seção 2,5 mm2 </t>
  </si>
  <si>
    <t>Isolado de PVC seção 4,0 mm2</t>
  </si>
  <si>
    <t>Isolado de PVC seção 6,0 mm2</t>
  </si>
  <si>
    <t>Isolado em PVC seção 10 mm2</t>
  </si>
  <si>
    <t>Isolado em PVC seção 16 mm2</t>
  </si>
  <si>
    <t>Isolado em PVC seção 25 mm2</t>
  </si>
  <si>
    <t>Isolado em PVC seção 35 mm2</t>
  </si>
  <si>
    <t>QUADROS DE DISTRIBUIÇÃO</t>
  </si>
  <si>
    <t>100560</t>
  </si>
  <si>
    <t>97359</t>
  </si>
  <si>
    <t>93008</t>
  </si>
  <si>
    <t>93009</t>
  </si>
  <si>
    <t>93011</t>
  </si>
  <si>
    <t>93012</t>
  </si>
  <si>
    <t>92662</t>
  </si>
  <si>
    <t>92693</t>
  </si>
  <si>
    <t>100557</t>
  </si>
  <si>
    <t>91937</t>
  </si>
  <si>
    <t>92991</t>
  </si>
  <si>
    <t>92997</t>
  </si>
  <si>
    <t>98281</t>
  </si>
  <si>
    <t>92001</t>
  </si>
  <si>
    <t>92023</t>
  </si>
  <si>
    <t>C2298</t>
  </si>
  <si>
    <t>C1639</t>
  </si>
  <si>
    <t>C1661</t>
  </si>
  <si>
    <t>C2045</t>
  </si>
  <si>
    <t>98307</t>
  </si>
  <si>
    <t>SEINFRA</t>
  </si>
  <si>
    <t>SISTEMA DE PROTEÇÃO CONTRA DESCARGAS ATMOSFÉRICAS (SPDA)</t>
  </si>
  <si>
    <t>CAPTOR TIPO FRANKLIN PARA SPDA - FORNECIMENTO E INSTALAÇÃO. AF_12/2017</t>
  </si>
  <si>
    <t>VERGALHÃO ROSCA TOTAL DE 3/8"</t>
  </si>
  <si>
    <t>SUPORTE ISOLADOR PARA CORDOALHA DE COBRE - FORNECIMENTO E INSTALAÇÃO.AF_12/2017</t>
  </si>
  <si>
    <t xml:space="preserve">Hastes terra Copperweld 3/4"x 2,40m para aterramento </t>
  </si>
  <si>
    <t>CORDOALHA DE COBRE NU 35 MM², NÃO ENTERRADA, COM ISOLADOR - FORNECIMENTO E INSTALAÇÃO. AF_12/2017</t>
  </si>
  <si>
    <t>CORDOALHA DE COBRE NU 50 MM², NÃO ENTERRADA, COM ISOLADOR - FORNECIMENTO E INSTALAÇÃO. AF_12/2017</t>
  </si>
  <si>
    <t>CAIXA DE INSPEÇÃO PARA ATERRAMENTO, CIRCULAR, EM POLIETILENO, DIÂMETRO INTERNO = 0,3 M. AF_12/2020</t>
  </si>
  <si>
    <t>TERMINAL DE PRESSÃO P/ CABOS ATÉ 35MM2</t>
  </si>
  <si>
    <t>96989</t>
  </si>
  <si>
    <t>C3478</t>
  </si>
  <si>
    <t>98463</t>
  </si>
  <si>
    <t>96973</t>
  </si>
  <si>
    <t>96974</t>
  </si>
  <si>
    <t>98111</t>
  </si>
  <si>
    <t>C2457</t>
  </si>
  <si>
    <t>SERVIÇOS COMPLEMENTARES</t>
  </si>
  <si>
    <t>GERAL</t>
  </si>
  <si>
    <t>170002</t>
  </si>
  <si>
    <t>Bancada de granito e = 3cm apoiada em alvenaria</t>
  </si>
  <si>
    <t>170003</t>
  </si>
  <si>
    <t>Prateleira de granito cinza andorinha, e = 2 cm, apoiada sobre alvenaria</t>
  </si>
  <si>
    <t>170004</t>
  </si>
  <si>
    <t>PORTA COMPENSADO P/ARMÁRIO SOB PIA</t>
  </si>
  <si>
    <t>PRATELEIRA DE MADEIRA DE LEI PLAINADA</t>
  </si>
  <si>
    <t>ESQUADRIA, PORTÃO E GRADIL METÁLICO</t>
  </si>
  <si>
    <t>CONJUNTO DE MASTRO P/ TRÊS BANDEIRAS E PEDESTAL</t>
  </si>
  <si>
    <t>170008</t>
  </si>
  <si>
    <t>Corrimão simples em tubo de aço galvanizado d = 1 1/2" - fixado em piso</t>
  </si>
  <si>
    <t>170009</t>
  </si>
  <si>
    <t>Grama esmeralda em placas</t>
  </si>
  <si>
    <t>PORTA EM ALUMÍNIO DE ABRIR TIPO VENEZIANA COM GUARNIÇÃO, FIXAÇÃO COM PARAFUSOS - FORNECIMENTO E INSTALAÇÃO. AF_12/2019</t>
  </si>
  <si>
    <t>PORTÃO DE METALON E BARRA CHATA DE FERRO C/FECHADURA E DOBRADIÇA, INCLUS. PINTURA ESMALTE SINTÉTICO</t>
  </si>
  <si>
    <t>180000</t>
  </si>
  <si>
    <t>SERVIÇOS FINAIS</t>
  </si>
  <si>
    <t>180001</t>
  </si>
  <si>
    <t>Limpeza Geral da edificação</t>
  </si>
  <si>
    <t>C1960</t>
  </si>
  <si>
    <t>C2910</t>
  </si>
  <si>
    <t>C0864</t>
  </si>
  <si>
    <t>91341</t>
  </si>
  <si>
    <t>C3659</t>
  </si>
  <si>
    <t>ADMINISTRAÇÃO LOCAL</t>
  </si>
  <si>
    <t>90776</t>
  </si>
  <si>
    <t>90777</t>
  </si>
  <si>
    <t>ENCARREGADO GERAL COM ENCARGOS COMPLEMENTARES</t>
  </si>
  <si>
    <t>ENGENHEIRO CIVIL DE OBRA JUNIOR COM ENCARGOS COMPLEMENTARES</t>
  </si>
  <si>
    <t>HORA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</si>
</sst>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4"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
      <sz val="10"/>
      <name val="Arial"/>
      <family val="1"/>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87">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cellStyleXfs>
  <cellXfs count="402">
    <xf numFmtId="0" fontId="0" fillId="0" borderId="0" xfId="0"/>
    <xf numFmtId="0" fontId="0" fillId="0" borderId="0" xfId="0" applyProtection="1"/>
    <xf numFmtId="0" fontId="0" fillId="0" borderId="0" xfId="0" applyFill="1" applyBorder="1" applyProtection="1"/>
    <xf numFmtId="0" fontId="0" fillId="0" borderId="0" xfId="0" applyBorder="1" applyProtection="1"/>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pplyProtection="1">
      <alignment horizontal="center"/>
    </xf>
    <xf numFmtId="0" fontId="0" fillId="0" borderId="0" xfId="0" applyAlignment="1" applyProtection="1">
      <alignment horizontal="left"/>
    </xf>
    <xf numFmtId="0" fontId="1" fillId="0" borderId="0" xfId="0" applyFont="1" applyAlignment="1">
      <alignment horizontal="center"/>
    </xf>
    <xf numFmtId="49" fontId="22" fillId="24" borderId="10" xfId="0" applyNumberFormat="1" applyFont="1" applyFill="1" applyBorder="1" applyAlignment="1" applyProtection="1">
      <alignment horizontal="center" vertical="center"/>
    </xf>
    <xf numFmtId="164" fontId="22" fillId="24" borderId="10" xfId="85" applyNumberFormat="1" applyFont="1" applyFill="1" applyBorder="1" applyAlignment="1" applyProtection="1">
      <alignment horizontal="center" vertical="center"/>
    </xf>
    <xf numFmtId="10" fontId="22" fillId="24" borderId="10" xfId="74"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5" applyFont="1"/>
    <xf numFmtId="0" fontId="27" fillId="0" borderId="0" xfId="0" applyFont="1" applyAlignment="1">
      <alignment vertical="center"/>
    </xf>
    <xf numFmtId="0" fontId="1" fillId="0" borderId="0" xfId="0" applyFont="1" applyBorder="1" applyAlignment="1" applyProtection="1">
      <alignment horizontal="right"/>
    </xf>
    <xf numFmtId="0" fontId="22" fillId="0" borderId="0" xfId="0" applyFont="1" applyBorder="1" applyAlignment="1" applyProtection="1">
      <alignment horizontal="right"/>
    </xf>
    <xf numFmtId="0" fontId="1" fillId="0" borderId="0" xfId="0" applyFont="1" applyBorder="1"/>
    <xf numFmtId="0" fontId="0" fillId="0" borderId="0" xfId="0" applyFill="1" applyProtection="1"/>
    <xf numFmtId="0" fontId="0" fillId="0" borderId="0" xfId="0" applyFill="1" applyAlignment="1" applyProtection="1">
      <alignment horizontal="left"/>
    </xf>
    <xf numFmtId="0" fontId="1" fillId="0" borderId="0" xfId="0" applyFont="1" applyFill="1" applyAlignment="1" applyProtection="1">
      <alignment horizontal="center"/>
    </xf>
    <xf numFmtId="0" fontId="1" fillId="0" borderId="0" xfId="0" applyFont="1" applyFill="1" applyBorder="1" applyAlignment="1" applyProtection="1">
      <alignment wrapText="1"/>
    </xf>
    <xf numFmtId="0" fontId="0" fillId="0" borderId="0" xfId="0" applyFill="1" applyAlignment="1" applyProtection="1">
      <alignment horizontal="left" wrapText="1"/>
    </xf>
    <xf numFmtId="0" fontId="1" fillId="0" borderId="0" xfId="0" applyFont="1" applyFill="1" applyBorder="1" applyAlignment="1" applyProtection="1">
      <alignment horizontal="left" wrapText="1" indent="2"/>
    </xf>
    <xf numFmtId="0" fontId="0" fillId="0" borderId="0" xfId="0" applyFill="1" applyAlignment="1" applyProtection="1">
      <alignment horizontal="center"/>
    </xf>
    <xf numFmtId="0" fontId="22" fillId="0" borderId="11" xfId="70" applyFont="1" applyBorder="1" applyAlignment="1" applyProtection="1">
      <alignment horizontal="left" vertical="top"/>
    </xf>
    <xf numFmtId="0" fontId="22" fillId="0" borderId="0" xfId="70" applyFont="1" applyBorder="1" applyAlignment="1" applyProtection="1">
      <alignment horizontal="left" vertical="top"/>
    </xf>
    <xf numFmtId="0" fontId="22" fillId="0" borderId="12" xfId="70" applyFont="1" applyBorder="1" applyAlignment="1" applyProtection="1">
      <alignment horizontal="left" vertical="top"/>
    </xf>
    <xf numFmtId="10" fontId="1" fillId="0" borderId="0" xfId="74" applyNumberFormat="1" applyFont="1" applyBorder="1" applyAlignment="1" applyProtection="1">
      <alignment horizontal="left"/>
    </xf>
    <xf numFmtId="0" fontId="0" fillId="0" borderId="0" xfId="0" applyAlignment="1" applyProtection="1">
      <alignment horizontal="left" indent="2"/>
    </xf>
    <xf numFmtId="14" fontId="28" fillId="0" borderId="0" xfId="0" applyNumberFormat="1" applyFont="1" applyFill="1" applyBorder="1" applyAlignment="1" applyProtection="1">
      <alignment vertical="top" wrapText="1"/>
    </xf>
    <xf numFmtId="0" fontId="29" fillId="0" borderId="0" xfId="0" applyFont="1" applyFill="1" applyAlignment="1" applyProtection="1">
      <alignment horizontal="center"/>
    </xf>
    <xf numFmtId="0" fontId="29" fillId="0" borderId="0" xfId="0" applyFont="1" applyFill="1" applyProtection="1"/>
    <xf numFmtId="0" fontId="21" fillId="0" borderId="0" xfId="0" applyFont="1" applyAlignment="1">
      <alignment horizontal="left"/>
    </xf>
    <xf numFmtId="166" fontId="0" fillId="0" borderId="0" xfId="85" applyNumberFormat="1" applyFont="1" applyFill="1" applyBorder="1" applyProtection="1"/>
    <xf numFmtId="0" fontId="1" fillId="0" borderId="0" xfId="0" applyFont="1" applyAlignment="1" applyProtection="1">
      <alignment horizontal="left"/>
    </xf>
    <xf numFmtId="0" fontId="0" fillId="0" borderId="13" xfId="0" applyFill="1" applyBorder="1" applyAlignment="1" applyProtection="1">
      <alignment horizontal="left"/>
    </xf>
    <xf numFmtId="0" fontId="0" fillId="0" borderId="13" xfId="0" applyFill="1" applyBorder="1" applyProtection="1"/>
    <xf numFmtId="0" fontId="0" fillId="0" borderId="0" xfId="0" applyProtection="1">
      <protection hidden="1"/>
    </xf>
    <xf numFmtId="0" fontId="1" fillId="0" borderId="0" xfId="0" applyFont="1" applyProtection="1">
      <protection hidden="1"/>
    </xf>
    <xf numFmtId="0" fontId="22" fillId="0" borderId="0" xfId="0" applyFont="1" applyFill="1" applyBorder="1" applyAlignment="1" applyProtection="1">
      <alignment wrapText="1"/>
      <protection hidden="1"/>
    </xf>
    <xf numFmtId="0" fontId="22" fillId="0" borderId="0" xfId="0" applyFont="1" applyFill="1" applyBorder="1" applyAlignment="1" applyProtection="1">
      <alignment horizontal="center" vertical="center"/>
      <protection hidden="1"/>
    </xf>
    <xf numFmtId="0" fontId="1" fillId="0" borderId="0" xfId="0" applyFont="1" applyFill="1" applyBorder="1" applyProtection="1">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1" fillId="0" borderId="0" xfId="69" applyFont="1" applyProtection="1"/>
    <xf numFmtId="0" fontId="22" fillId="0" borderId="0" xfId="69" applyFont="1" applyAlignment="1" applyProtection="1">
      <alignment horizontal="center"/>
    </xf>
    <xf numFmtId="0" fontId="22" fillId="0" borderId="14" xfId="69" applyFont="1" applyBorder="1" applyAlignment="1" applyProtection="1">
      <alignment horizontal="center"/>
    </xf>
    <xf numFmtId="10" fontId="31" fillId="0" borderId="14" xfId="69" applyNumberFormat="1" applyFont="1" applyFill="1" applyBorder="1" applyAlignment="1" applyProtection="1">
      <alignment horizontal="center"/>
    </xf>
    <xf numFmtId="0" fontId="21" fillId="0" borderId="0" xfId="69" applyFont="1" applyAlignment="1" applyProtection="1">
      <alignment horizontal="center"/>
    </xf>
    <xf numFmtId="0" fontId="32" fillId="0" borderId="0" xfId="69" applyFont="1" applyAlignment="1" applyProtection="1"/>
    <xf numFmtId="0" fontId="22" fillId="0" borderId="0" xfId="69" applyFont="1" applyProtection="1"/>
    <xf numFmtId="0" fontId="22" fillId="0" borderId="14" xfId="69" applyFont="1" applyFill="1" applyBorder="1" applyAlignment="1" applyProtection="1">
      <alignment horizontal="center" vertical="center" wrapText="1"/>
    </xf>
    <xf numFmtId="0" fontId="30" fillId="0" borderId="14" xfId="69" applyFont="1" applyBorder="1" applyAlignment="1" applyProtection="1">
      <alignment horizontal="center" vertical="center"/>
    </xf>
    <xf numFmtId="10" fontId="30" fillId="25" borderId="14" xfId="69" applyNumberFormat="1" applyFont="1" applyFill="1" applyBorder="1" applyAlignment="1" applyProtection="1">
      <alignment horizontal="center" vertical="center"/>
      <protection locked="0"/>
    </xf>
    <xf numFmtId="4" fontId="26" fillId="0" borderId="14" xfId="69" applyNumberFormat="1" applyFont="1" applyFill="1" applyBorder="1" applyAlignment="1" applyProtection="1">
      <alignment horizontal="center" vertical="center"/>
    </xf>
    <xf numFmtId="10" fontId="30" fillId="0" borderId="14" xfId="69" applyNumberFormat="1" applyFont="1" applyFill="1" applyBorder="1" applyAlignment="1" applyProtection="1">
      <alignment horizontal="center" vertical="center"/>
    </xf>
    <xf numFmtId="10" fontId="30" fillId="0" borderId="14" xfId="69" applyNumberFormat="1" applyFont="1" applyFill="1" applyBorder="1" applyAlignment="1" applyProtection="1">
      <alignment horizontal="center" vertical="center" wrapText="1"/>
    </xf>
    <xf numFmtId="0" fontId="30" fillId="0" borderId="14" xfId="69" applyFont="1" applyFill="1" applyBorder="1" applyAlignment="1" applyProtection="1">
      <alignment horizontal="center" vertical="center" wrapText="1"/>
    </xf>
    <xf numFmtId="0" fontId="39" fillId="0" borderId="0" xfId="69" applyFont="1" applyFill="1" applyBorder="1" applyAlignment="1" applyProtection="1">
      <alignment horizontal="center" vertical="center" wrapText="1"/>
    </xf>
    <xf numFmtId="10" fontId="39" fillId="0" borderId="0" xfId="69" applyNumberFormat="1" applyFont="1" applyFill="1" applyBorder="1" applyAlignment="1" applyProtection="1">
      <alignment horizontal="center" vertical="center"/>
    </xf>
    <xf numFmtId="170" fontId="1" fillId="0" borderId="0" xfId="69" applyNumberFormat="1" applyFont="1" applyAlignment="1" applyProtection="1"/>
    <xf numFmtId="0" fontId="30" fillId="0" borderId="0" xfId="69" applyFont="1" applyBorder="1" applyProtection="1"/>
    <xf numFmtId="0" fontId="1" fillId="0" borderId="0" xfId="69" applyFont="1" applyBorder="1" applyProtection="1"/>
    <xf numFmtId="0" fontId="30" fillId="0" borderId="0" xfId="69" applyFont="1" applyProtection="1"/>
    <xf numFmtId="0" fontId="30" fillId="0" borderId="0" xfId="69" applyFont="1" applyAlignment="1" applyProtection="1">
      <alignment vertical="top"/>
    </xf>
    <xf numFmtId="0" fontId="34" fillId="0" borderId="0" xfId="69" applyFont="1" applyBorder="1" applyAlignment="1" applyProtection="1">
      <alignment horizontal="center" vertical="top"/>
    </xf>
    <xf numFmtId="0" fontId="22" fillId="0" borderId="14" xfId="0" applyFont="1" applyBorder="1" applyAlignment="1" applyProtection="1">
      <alignment horizontal="center" vertical="center" wrapText="1"/>
    </xf>
    <xf numFmtId="0" fontId="22" fillId="0" borderId="14" xfId="0" applyFont="1" applyBorder="1" applyAlignment="1" applyProtection="1">
      <alignment horizontal="center" vertical="center"/>
    </xf>
    <xf numFmtId="0" fontId="22" fillId="24" borderId="14" xfId="0" applyNumberFormat="1" applyFont="1" applyFill="1" applyBorder="1" applyAlignment="1" applyProtection="1">
      <alignment horizontal="center" vertical="center"/>
    </xf>
    <xf numFmtId="0" fontId="1" fillId="0" borderId="15" xfId="0" applyFont="1" applyBorder="1" applyAlignment="1" applyProtection="1">
      <alignment horizontal="center"/>
    </xf>
    <xf numFmtId="0" fontId="22" fillId="0" borderId="16" xfId="0" applyFont="1" applyBorder="1" applyAlignment="1" applyProtection="1">
      <alignment horizontal="center"/>
    </xf>
    <xf numFmtId="0" fontId="1" fillId="0" borderId="0" xfId="0" applyFont="1" applyFill="1"/>
    <xf numFmtId="0" fontId="36" fillId="0" borderId="0" xfId="0" applyFont="1" applyFill="1" applyAlignment="1">
      <alignment vertical="center"/>
    </xf>
    <xf numFmtId="0" fontId="1" fillId="0" borderId="0" xfId="0" applyFont="1" applyFill="1" applyAlignment="1">
      <alignment horizontal="center" vertical="top"/>
    </xf>
    <xf numFmtId="0" fontId="1" fillId="0" borderId="0" xfId="0" applyFont="1" applyProtection="1"/>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Alignment="1" applyProtection="1">
      <protection locked="0"/>
    </xf>
    <xf numFmtId="0" fontId="22" fillId="24" borderId="10" xfId="0" applyNumberFormat="1" applyFont="1" applyFill="1" applyBorder="1" applyAlignment="1" applyProtection="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pplyProtection="1">
      <alignment horizontal="left" vertical="center"/>
    </xf>
    <xf numFmtId="0" fontId="1" fillId="25" borderId="18" xfId="0" applyFont="1" applyFill="1" applyBorder="1" applyAlignment="1" applyProtection="1">
      <alignment vertical="top" wrapText="1"/>
      <protection locked="0"/>
    </xf>
    <xf numFmtId="0" fontId="22" fillId="0" borderId="11" xfId="70" applyFont="1" applyBorder="1" applyAlignment="1" applyProtection="1">
      <alignment vertical="top"/>
    </xf>
    <xf numFmtId="0" fontId="22" fillId="0" borderId="15" xfId="70" applyFont="1" applyBorder="1" applyAlignment="1" applyProtection="1">
      <alignment horizontal="center" vertical="top"/>
    </xf>
    <xf numFmtId="0" fontId="0" fillId="0" borderId="0" xfId="0" applyFont="1" applyProtection="1"/>
    <xf numFmtId="10" fontId="37" fillId="25" borderId="16" xfId="74" applyNumberFormat="1" applyFont="1" applyFill="1" applyBorder="1" applyAlignment="1" applyProtection="1">
      <alignment horizontal="center" vertical="top" wrapText="1"/>
    </xf>
    <xf numFmtId="10" fontId="0" fillId="0" borderId="16" xfId="74" applyNumberFormat="1" applyFont="1" applyFill="1" applyBorder="1" applyAlignment="1" applyProtection="1">
      <alignment horizontal="center" vertical="top" wrapText="1"/>
    </xf>
    <xf numFmtId="164" fontId="22" fillId="24" borderId="19" xfId="85" applyNumberFormat="1" applyFont="1" applyFill="1" applyBorder="1" applyAlignment="1" applyProtection="1">
      <alignment horizontal="center" vertical="center" shrinkToFit="1"/>
    </xf>
    <xf numFmtId="164" fontId="1" fillId="0" borderId="20" xfId="85" applyNumberFormat="1" applyFont="1" applyFill="1" applyBorder="1" applyAlignment="1">
      <alignment horizontal="center" vertical="center" shrinkToFit="1"/>
    </xf>
    <xf numFmtId="0" fontId="21" fillId="0" borderId="0" xfId="0" applyFont="1" applyAlignment="1">
      <alignment horizontal="left" vertical="center"/>
    </xf>
    <xf numFmtId="0" fontId="1" fillId="0" borderId="0" xfId="69" applyFont="1" applyBorder="1" applyAlignment="1" applyProtection="1">
      <alignment horizontal="center" vertical="top"/>
    </xf>
    <xf numFmtId="0" fontId="38" fillId="0" borderId="0" xfId="70" applyFont="1" applyBorder="1" applyAlignment="1" applyProtection="1">
      <alignment horizontal="left" vertical="top"/>
    </xf>
    <xf numFmtId="0" fontId="35" fillId="0" borderId="0" xfId="0" applyFont="1" applyAlignment="1">
      <alignment horizontal="left" vertical="center"/>
    </xf>
    <xf numFmtId="3" fontId="0" fillId="26" borderId="21" xfId="0" applyNumberFormat="1" applyFill="1" applyBorder="1" applyAlignment="1" applyProtection="1">
      <alignment horizontal="left"/>
    </xf>
    <xf numFmtId="10" fontId="37" fillId="25" borderId="18" xfId="74" applyNumberFormat="1" applyFont="1" applyFill="1" applyBorder="1" applyAlignment="1" applyProtection="1">
      <alignment horizontal="left" vertical="top" wrapText="1"/>
      <protection locked="0"/>
    </xf>
    <xf numFmtId="0" fontId="1" fillId="26" borderId="18" xfId="0" applyFont="1" applyFill="1" applyBorder="1" applyAlignment="1" applyProtection="1">
      <alignment horizontal="left"/>
    </xf>
    <xf numFmtId="4" fontId="26" fillId="0" borderId="14" xfId="69" applyNumberFormat="1" applyFont="1" applyFill="1" applyBorder="1" applyAlignment="1" applyProtection="1">
      <alignment horizontal="center" vertical="center" wrapText="1"/>
    </xf>
    <xf numFmtId="0" fontId="46" fillId="0" borderId="0" xfId="69" applyFont="1" applyAlignment="1" applyProtection="1">
      <alignment wrapText="1"/>
    </xf>
    <xf numFmtId="0" fontId="47" fillId="0" borderId="0" xfId="69" applyFont="1" applyAlignment="1" applyProtection="1">
      <alignment vertical="top" wrapText="1"/>
    </xf>
    <xf numFmtId="0" fontId="44" fillId="0" borderId="14" xfId="69" applyFont="1" applyBorder="1" applyAlignment="1" applyProtection="1">
      <alignment horizontal="center" vertical="center"/>
    </xf>
    <xf numFmtId="4" fontId="26" fillId="0" borderId="0" xfId="69" applyNumberFormat="1" applyFont="1" applyFill="1" applyBorder="1" applyAlignment="1" applyProtection="1">
      <alignment horizontal="center" vertical="center" wrapText="1"/>
    </xf>
    <xf numFmtId="0" fontId="1" fillId="0" borderId="0" xfId="69" applyFont="1" applyProtection="1">
      <protection locked="0"/>
    </xf>
    <xf numFmtId="0" fontId="22" fillId="0" borderId="0" xfId="0" applyFont="1"/>
    <xf numFmtId="0" fontId="22" fillId="0" borderId="0" xfId="0" applyFont="1" applyAlignment="1">
      <alignment horizontal="left"/>
    </xf>
    <xf numFmtId="0" fontId="0" fillId="0" borderId="0" xfId="0" applyAlignment="1" applyProtection="1">
      <alignment horizontal="center"/>
    </xf>
    <xf numFmtId="0" fontId="22" fillId="0" borderId="22" xfId="0" applyFont="1" applyBorder="1" applyAlignment="1" applyProtection="1">
      <alignment horizontal="center" vertical="center" wrapText="1"/>
    </xf>
    <xf numFmtId="0" fontId="22" fillId="0" borderId="0" xfId="0" applyFont="1" applyFill="1" applyBorder="1" applyAlignment="1" applyProtection="1">
      <alignment horizontal="center" vertical="center" wrapText="1"/>
    </xf>
    <xf numFmtId="0" fontId="0" fillId="0" borderId="0" xfId="0" applyBorder="1"/>
    <xf numFmtId="0" fontId="1" fillId="0" borderId="0" xfId="0" applyFont="1" applyFill="1" applyBorder="1"/>
    <xf numFmtId="0" fontId="23" fillId="0" borderId="16" xfId="0" applyFont="1" applyBorder="1" applyAlignment="1">
      <alignment horizontal="center"/>
    </xf>
    <xf numFmtId="0" fontId="2" fillId="25" borderId="23" xfId="0" applyNumberFormat="1" applyFont="1" applyFill="1" applyBorder="1" applyAlignment="1" applyProtection="1">
      <alignment vertical="center" wrapText="1"/>
      <protection locked="0"/>
    </xf>
    <xf numFmtId="164" fontId="1" fillId="0" borderId="24" xfId="85" applyNumberFormat="1"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pplyProtection="1">
      <alignment horizontal="center" vertical="center" wrapText="1"/>
    </xf>
    <xf numFmtId="0" fontId="22" fillId="0" borderId="15" xfId="0" applyFont="1" applyBorder="1" applyAlignment="1" applyProtection="1">
      <alignment horizontal="center" vertical="center"/>
    </xf>
    <xf numFmtId="0" fontId="27" fillId="0" borderId="26" xfId="0" applyFont="1" applyBorder="1" applyAlignment="1">
      <alignment horizontal="center" vertical="center"/>
    </xf>
    <xf numFmtId="0" fontId="2" fillId="0" borderId="27" xfId="0" applyNumberFormat="1" applyFont="1" applyFill="1" applyBorder="1" applyAlignment="1" applyProtection="1">
      <alignment vertical="center"/>
    </xf>
    <xf numFmtId="0" fontId="1" fillId="0" borderId="28" xfId="0" applyNumberFormat="1" applyFont="1" applyFill="1" applyBorder="1" applyAlignment="1" applyProtection="1">
      <alignment vertical="center" wrapText="1"/>
    </xf>
    <xf numFmtId="0" fontId="2" fillId="0" borderId="28" xfId="0" applyNumberFormat="1" applyFont="1" applyFill="1" applyBorder="1" applyAlignment="1" applyProtection="1">
      <alignment vertical="center"/>
    </xf>
    <xf numFmtId="0" fontId="1" fillId="0" borderId="28" xfId="0" applyNumberFormat="1" applyFont="1" applyFill="1" applyBorder="1" applyAlignment="1" applyProtection="1">
      <alignment horizontal="center" vertical="center" wrapText="1"/>
    </xf>
    <xf numFmtId="0" fontId="1" fillId="0" borderId="28" xfId="0" applyNumberFormat="1" applyFont="1" applyFill="1" applyBorder="1" applyAlignment="1" applyProtection="1">
      <alignment vertical="center" shrinkToFit="1"/>
    </xf>
    <xf numFmtId="0" fontId="1" fillId="0" borderId="0" xfId="0" applyFont="1" applyAlignment="1">
      <alignment wrapText="1"/>
    </xf>
    <xf numFmtId="10" fontId="1" fillId="0" borderId="24" xfId="85" applyNumberFormat="1" applyFont="1" applyFill="1" applyBorder="1" applyAlignment="1">
      <alignment vertical="center" shrinkToFit="1"/>
    </xf>
    <xf numFmtId="10" fontId="22" fillId="24" borderId="10" xfId="85" applyNumberFormat="1" applyFont="1" applyFill="1" applyBorder="1" applyAlignment="1" applyProtection="1">
      <alignment horizontal="center" vertical="center"/>
    </xf>
    <xf numFmtId="0" fontId="22" fillId="0" borderId="11" xfId="70" applyFont="1" applyFill="1" applyBorder="1" applyAlignment="1" applyProtection="1">
      <alignment horizontal="left" vertical="top"/>
    </xf>
    <xf numFmtId="0" fontId="22" fillId="0" borderId="11" xfId="70" applyFont="1" applyFill="1" applyBorder="1" applyAlignment="1" applyProtection="1">
      <alignment vertical="top"/>
    </xf>
    <xf numFmtId="0" fontId="22" fillId="0" borderId="15" xfId="70" applyFont="1" applyFill="1" applyBorder="1" applyAlignment="1" applyProtection="1">
      <alignment horizontal="center" vertical="top"/>
    </xf>
    <xf numFmtId="0" fontId="1" fillId="0" borderId="18" xfId="0" applyFont="1" applyFill="1" applyBorder="1" applyAlignment="1" applyProtection="1">
      <alignment vertical="top" wrapText="1"/>
    </xf>
    <xf numFmtId="0" fontId="1" fillId="0" borderId="18" xfId="0" applyFont="1" applyFill="1" applyBorder="1" applyAlignment="1" applyProtection="1">
      <alignment horizontal="left" vertical="top" wrapText="1"/>
    </xf>
    <xf numFmtId="10" fontId="37" fillId="0" borderId="16" xfId="74" applyNumberFormat="1" applyFont="1" applyFill="1" applyBorder="1" applyAlignment="1" applyProtection="1">
      <alignment horizontal="center" vertical="top" wrapText="1"/>
    </xf>
    <xf numFmtId="10" fontId="37" fillId="0" borderId="18" xfId="74"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69" applyFont="1" applyBorder="1" applyAlignment="1" applyProtection="1">
      <alignment horizontal="left"/>
    </xf>
    <xf numFmtId="0" fontId="1" fillId="0" borderId="17" xfId="69" applyFont="1" applyBorder="1" applyProtection="1"/>
    <xf numFmtId="0" fontId="27" fillId="0" borderId="0" xfId="0" applyFont="1" applyAlignment="1">
      <alignment horizontal="center" vertical="center"/>
    </xf>
    <xf numFmtId="0" fontId="38" fillId="0" borderId="29" xfId="0" applyFont="1" applyBorder="1" applyAlignment="1" applyProtection="1">
      <alignment horizontal="center" vertical="center" wrapText="1"/>
    </xf>
    <xf numFmtId="0" fontId="29" fillId="0" borderId="0" xfId="0" applyFont="1" applyAlignment="1" applyProtection="1">
      <alignment horizontal="center" vertical="center" wrapText="1"/>
    </xf>
    <xf numFmtId="0" fontId="29" fillId="0" borderId="0" xfId="0" applyFont="1" applyAlignment="1" applyProtection="1">
      <alignment horizontal="center"/>
    </xf>
    <xf numFmtId="4" fontId="26" fillId="27" borderId="13" xfId="85" applyNumberFormat="1" applyFont="1" applyFill="1" applyBorder="1" applyAlignment="1" applyProtection="1">
      <alignment horizontal="center" vertical="center" shrinkToFit="1"/>
    </xf>
    <xf numFmtId="10" fontId="26" fillId="28" borderId="0" xfId="74" applyNumberFormat="1" applyFont="1" applyFill="1" applyBorder="1" applyAlignment="1" applyProtection="1">
      <alignment horizontal="center" vertical="center" shrinkToFit="1"/>
    </xf>
    <xf numFmtId="4" fontId="26" fillId="28" borderId="13" xfId="85" applyNumberFormat="1" applyFont="1" applyFill="1" applyBorder="1" applyAlignment="1" applyProtection="1">
      <alignment horizontal="center" vertical="center" shrinkToFit="1"/>
    </xf>
    <xf numFmtId="0" fontId="38" fillId="0" borderId="30" xfId="0" applyFont="1" applyBorder="1" applyAlignment="1" applyProtection="1">
      <alignment horizontal="center" vertical="center" wrapText="1"/>
    </xf>
    <xf numFmtId="0" fontId="1" fillId="0" borderId="17" xfId="0" applyFont="1" applyFill="1" applyBorder="1" applyProtection="1"/>
    <xf numFmtId="0" fontId="1" fillId="0" borderId="17" xfId="0" applyFont="1" applyFill="1" applyBorder="1" applyAlignment="1" applyProtection="1">
      <alignment horizontal="center"/>
    </xf>
    <xf numFmtId="0" fontId="22" fillId="27" borderId="18" xfId="0" applyFont="1" applyFill="1" applyBorder="1" applyAlignment="1" applyProtection="1">
      <alignment horizontal="center" vertical="center"/>
    </xf>
    <xf numFmtId="0" fontId="22" fillId="28" borderId="11" xfId="0" applyFont="1" applyFill="1" applyBorder="1" applyAlignment="1" applyProtection="1">
      <alignment horizontal="center" vertical="center"/>
    </xf>
    <xf numFmtId="0" fontId="22" fillId="28" borderId="18" xfId="0" applyFont="1" applyFill="1" applyBorder="1" applyAlignment="1" applyProtection="1">
      <alignment horizontal="center" vertical="center"/>
    </xf>
    <xf numFmtId="0" fontId="0" fillId="25" borderId="14" xfId="0" applyFont="1" applyFill="1" applyBorder="1" applyAlignment="1" applyProtection="1">
      <alignment horizontal="center" vertical="center"/>
      <protection locked="0"/>
    </xf>
    <xf numFmtId="0" fontId="38" fillId="0" borderId="0" xfId="0" applyFont="1" applyAlignment="1" applyProtection="1">
      <alignment horizontal="center" wrapText="1"/>
    </xf>
    <xf numFmtId="0" fontId="50" fillId="0" borderId="0" xfId="0" applyFont="1" applyFill="1" applyProtection="1"/>
    <xf numFmtId="0" fontId="1" fillId="0" borderId="31" xfId="0" applyNumberFormat="1" applyFont="1" applyFill="1" applyBorder="1" applyAlignment="1">
      <alignment vertical="center" wrapText="1" shrinkToFit="1"/>
    </xf>
    <xf numFmtId="0" fontId="40" fillId="24" borderId="32" xfId="0" applyNumberFormat="1" applyFont="1" applyFill="1" applyBorder="1" applyAlignment="1" applyProtection="1">
      <alignment horizontal="center" vertical="center" wrapText="1"/>
    </xf>
    <xf numFmtId="0" fontId="2" fillId="28" borderId="23" xfId="0" applyNumberFormat="1" applyFont="1" applyFill="1" applyBorder="1" applyAlignment="1" applyProtection="1">
      <alignment vertical="center" wrapText="1"/>
    </xf>
    <xf numFmtId="164" fontId="1" fillId="0" borderId="28" xfId="85"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pplyProtection="1">
      <alignment horizontal="center" vertical="center"/>
    </xf>
    <xf numFmtId="10" fontId="30" fillId="0" borderId="0" xfId="74" applyNumberFormat="1" applyFont="1" applyFill="1" applyBorder="1" applyAlignment="1" applyProtection="1">
      <alignment horizontal="center" vertical="center"/>
    </xf>
    <xf numFmtId="4" fontId="30" fillId="0" borderId="0" xfId="74" applyNumberFormat="1" applyFont="1" applyFill="1" applyBorder="1" applyAlignment="1" applyProtection="1">
      <alignment horizontal="center" vertical="center"/>
    </xf>
    <xf numFmtId="0" fontId="1" fillId="0" borderId="11" xfId="0" applyFont="1" applyFill="1" applyBorder="1" applyAlignment="1" applyProtection="1">
      <alignment horizontal="center" vertical="center"/>
    </xf>
    <xf numFmtId="0" fontId="22" fillId="0" borderId="11" xfId="0" applyFont="1" applyFill="1" applyBorder="1" applyAlignment="1" applyProtection="1">
      <alignment horizontal="center" vertical="center"/>
    </xf>
    <xf numFmtId="0" fontId="24" fillId="0" borderId="0" xfId="0" applyFont="1" applyFill="1" applyAlignment="1" applyProtection="1">
      <alignment vertical="center"/>
    </xf>
    <xf numFmtId="0" fontId="21" fillId="0" borderId="0" xfId="0" applyFont="1" applyAlignment="1" applyProtection="1">
      <alignment horizontal="right" vertical="center"/>
    </xf>
    <xf numFmtId="0" fontId="21" fillId="0" borderId="0" xfId="0" applyFont="1" applyAlignment="1" applyProtection="1">
      <alignment horizontal="left" vertical="center"/>
    </xf>
    <xf numFmtId="0" fontId="0" fillId="0" borderId="0" xfId="0" applyFill="1" applyAlignment="1" applyProtection="1">
      <alignment horizontal="center" vertical="top"/>
    </xf>
    <xf numFmtId="0" fontId="35" fillId="0" borderId="0" xfId="0" applyFont="1" applyAlignment="1" applyProtection="1">
      <alignment horizontal="left" vertical="center"/>
    </xf>
    <xf numFmtId="0" fontId="1" fillId="0" borderId="0" xfId="0" applyFont="1" applyAlignment="1" applyProtection="1">
      <alignment horizontal="center" wrapText="1"/>
    </xf>
    <xf numFmtId="0" fontId="48" fillId="0" borderId="0" xfId="0" applyFont="1" applyAlignment="1" applyProtection="1">
      <alignment wrapText="1"/>
    </xf>
    <xf numFmtId="0" fontId="0" fillId="0" borderId="0" xfId="0" applyNumberFormat="1" applyProtection="1"/>
    <xf numFmtId="0" fontId="22" fillId="0" borderId="0" xfId="0" applyFont="1" applyFill="1" applyBorder="1" applyAlignment="1" applyProtection="1">
      <alignment horizontal="center" wrapText="1"/>
    </xf>
    <xf numFmtId="0" fontId="26" fillId="0" borderId="15" xfId="0" applyFont="1" applyFill="1" applyBorder="1" applyAlignment="1" applyProtection="1">
      <alignment horizontal="center" vertical="center"/>
    </xf>
    <xf numFmtId="0" fontId="26" fillId="0" borderId="15" xfId="0" applyFont="1" applyFill="1" applyBorder="1" applyAlignment="1" applyProtection="1">
      <alignment horizontal="center" vertical="center" wrapText="1"/>
    </xf>
    <xf numFmtId="0" fontId="26" fillId="0" borderId="30"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xf>
    <xf numFmtId="4" fontId="1" fillId="0" borderId="0" xfId="0" applyNumberFormat="1" applyFont="1" applyFill="1" applyBorder="1" applyAlignment="1" applyProtection="1">
      <alignment horizontal="center" vertical="center"/>
    </xf>
    <xf numFmtId="0" fontId="2" fillId="0" borderId="0" xfId="0" applyFont="1" applyFill="1" applyBorder="1" applyProtection="1"/>
    <xf numFmtId="0" fontId="1" fillId="0" borderId="0" xfId="0" applyFont="1" applyBorder="1" applyProtection="1"/>
    <xf numFmtId="0" fontId="2" fillId="0" borderId="0" xfId="0" applyFont="1" applyProtection="1"/>
    <xf numFmtId="0" fontId="1" fillId="0" borderId="0" xfId="0" applyFont="1" applyBorder="1" applyAlignment="1" applyProtection="1">
      <alignment vertical="top"/>
    </xf>
    <xf numFmtId="0" fontId="22" fillId="0" borderId="0" xfId="0" applyFont="1" applyBorder="1" applyAlignment="1" applyProtection="1">
      <alignment vertical="center"/>
    </xf>
    <xf numFmtId="4" fontId="2" fillId="0" borderId="0" xfId="0" applyNumberFormat="1" applyFont="1" applyProtection="1"/>
    <xf numFmtId="0" fontId="22" fillId="0" borderId="17" xfId="0" applyFont="1" applyFill="1" applyBorder="1" applyAlignment="1" applyProtection="1">
      <alignment horizontal="left" vertical="center"/>
    </xf>
    <xf numFmtId="0" fontId="1" fillId="0" borderId="17" xfId="0" applyFont="1" applyBorder="1" applyProtection="1"/>
    <xf numFmtId="0" fontId="1" fillId="0" borderId="0" xfId="0" applyFont="1" applyBorder="1" applyAlignment="1" applyProtection="1">
      <alignment horizontal="center"/>
    </xf>
    <xf numFmtId="0" fontId="22" fillId="0" borderId="11" xfId="0" applyFont="1" applyFill="1" applyBorder="1" applyAlignment="1" applyProtection="1">
      <alignment wrapText="1"/>
    </xf>
    <xf numFmtId="0" fontId="0" fillId="0" borderId="11" xfId="0" applyBorder="1" applyProtection="1"/>
    <xf numFmtId="0" fontId="0" fillId="0" borderId="11" xfId="0" quotePrefix="1" applyBorder="1" applyProtection="1"/>
    <xf numFmtId="10" fontId="30" fillId="0" borderId="11" xfId="74" applyNumberFormat="1" applyFont="1" applyFill="1" applyBorder="1" applyAlignment="1" applyProtection="1">
      <alignment horizontal="center" vertical="center"/>
    </xf>
    <xf numFmtId="4" fontId="30" fillId="0" borderId="11" xfId="74" applyNumberFormat="1" applyFont="1" applyFill="1" applyBorder="1" applyAlignment="1" applyProtection="1">
      <alignment horizontal="center" vertical="center"/>
    </xf>
    <xf numFmtId="4" fontId="26" fillId="27" borderId="18" xfId="85" applyNumberFormat="1" applyFont="1" applyFill="1" applyBorder="1" applyAlignment="1" applyProtection="1">
      <alignment horizontal="center" vertical="center" shrinkToFit="1"/>
    </xf>
    <xf numFmtId="10" fontId="26" fillId="28" borderId="11" xfId="74" applyNumberFormat="1" applyFont="1" applyFill="1" applyBorder="1" applyAlignment="1" applyProtection="1">
      <alignment horizontal="center" vertical="center" shrinkToFit="1"/>
    </xf>
    <xf numFmtId="4" fontId="26" fillId="28" borderId="18" xfId="85" applyNumberFormat="1" applyFont="1" applyFill="1" applyBorder="1" applyAlignment="1" applyProtection="1">
      <alignment horizontal="center" vertical="center" shrinkToFit="1"/>
    </xf>
    <xf numFmtId="0" fontId="1" fillId="0" borderId="15" xfId="0" applyFont="1" applyFill="1" applyBorder="1" applyAlignment="1" applyProtection="1">
      <alignment horizontal="center" vertical="center"/>
    </xf>
    <xf numFmtId="0" fontId="1" fillId="0" borderId="33" xfId="0" applyFont="1" applyFill="1" applyBorder="1" applyAlignment="1" applyProtection="1">
      <alignment horizontal="center" vertical="center"/>
    </xf>
    <xf numFmtId="10" fontId="26" fillId="27" borderId="11" xfId="74" applyNumberFormat="1" applyFont="1" applyFill="1" applyBorder="1" applyAlignment="1" applyProtection="1">
      <alignment horizontal="center" vertical="center" shrinkToFit="1"/>
    </xf>
    <xf numFmtId="10" fontId="26" fillId="27" borderId="0" xfId="74" applyNumberFormat="1" applyFont="1" applyFill="1" applyBorder="1" applyAlignment="1" applyProtection="1">
      <alignment horizontal="center" vertical="center" shrinkToFit="1"/>
    </xf>
    <xf numFmtId="4" fontId="30" fillId="0" borderId="12" xfId="74" applyNumberFormat="1" applyFont="1" applyFill="1" applyBorder="1" applyAlignment="1" applyProtection="1">
      <alignment horizontal="center" vertical="center"/>
    </xf>
    <xf numFmtId="10" fontId="0" fillId="0" borderId="14" xfId="0" applyNumberFormat="1" applyBorder="1" applyProtection="1"/>
    <xf numFmtId="49" fontId="1" fillId="25" borderId="24" xfId="0" applyNumberFormat="1" applyFont="1" applyFill="1" applyBorder="1" applyAlignment="1" applyProtection="1">
      <alignment horizontal="center" vertical="center" wrapText="1"/>
      <protection locked="0"/>
    </xf>
    <xf numFmtId="0" fontId="26" fillId="0" borderId="0" xfId="0" applyFont="1" applyFill="1" applyBorder="1" applyAlignment="1" applyProtection="1">
      <alignment horizontal="center" vertical="center" wrapText="1"/>
    </xf>
    <xf numFmtId="0" fontId="1" fillId="0" borderId="14" xfId="0" applyFont="1" applyBorder="1"/>
    <xf numFmtId="0" fontId="0" fillId="0" borderId="0" xfId="0" quotePrefix="1"/>
    <xf numFmtId="0" fontId="30" fillId="0" borderId="0" xfId="0" applyFont="1" applyFill="1" applyBorder="1" applyAlignment="1" applyProtection="1">
      <alignment horizontal="left" wrapText="1"/>
      <protection locked="0"/>
    </xf>
    <xf numFmtId="0" fontId="1" fillId="0" borderId="14" xfId="0" applyFont="1" applyBorder="1" applyProtection="1">
      <protection locked="0"/>
    </xf>
    <xf numFmtId="164" fontId="1" fillId="25" borderId="34" xfId="85" applyFont="1" applyFill="1" applyBorder="1" applyAlignment="1" applyProtection="1">
      <alignment vertical="center" shrinkToFit="1"/>
      <protection locked="0"/>
    </xf>
    <xf numFmtId="0" fontId="22" fillId="24" borderId="32" xfId="0" applyNumberFormat="1" applyFont="1" applyFill="1" applyBorder="1" applyAlignment="1" applyProtection="1">
      <alignment horizontal="center" vertical="center" shrinkToFit="1"/>
    </xf>
    <xf numFmtId="0" fontId="22" fillId="24" borderId="25" xfId="0" applyNumberFormat="1" applyFont="1" applyFill="1" applyBorder="1" applyAlignment="1" applyProtection="1">
      <alignment horizontal="center" vertical="center" shrinkToFit="1"/>
    </xf>
    <xf numFmtId="0" fontId="22" fillId="0" borderId="11" xfId="0" applyFont="1" applyFill="1" applyBorder="1" applyAlignment="1" applyProtection="1">
      <alignment horizontal="center" vertical="center" wrapText="1" shrinkToFit="1"/>
    </xf>
    <xf numFmtId="14" fontId="26" fillId="0" borderId="11" xfId="0" applyNumberFormat="1" applyFont="1" applyFill="1" applyBorder="1" applyAlignment="1" applyProtection="1">
      <alignment horizontal="center" vertical="center" wrapText="1"/>
    </xf>
    <xf numFmtId="0" fontId="1" fillId="0" borderId="28" xfId="0" applyFont="1" applyFill="1" applyBorder="1" applyAlignment="1" applyProtection="1">
      <alignment horizontal="center" vertical="center"/>
    </xf>
    <xf numFmtId="10" fontId="30" fillId="25" borderId="35" xfId="74" applyNumberFormat="1" applyFont="1" applyFill="1" applyBorder="1" applyAlignment="1" applyProtection="1">
      <alignment horizontal="center" vertical="center"/>
      <protection locked="0" hidden="1"/>
    </xf>
    <xf numFmtId="0" fontId="26" fillId="0" borderId="12" xfId="0" applyFont="1" applyFill="1" applyBorder="1" applyAlignment="1" applyProtection="1">
      <alignment horizontal="center" vertical="center" wrapText="1"/>
    </xf>
    <xf numFmtId="0" fontId="22" fillId="0" borderId="0" xfId="0" applyFont="1" applyFill="1" applyBorder="1" applyAlignment="1" applyProtection="1">
      <alignment wrapText="1"/>
    </xf>
    <xf numFmtId="0" fontId="1" fillId="26" borderId="0" xfId="0" applyFont="1" applyFill="1"/>
    <xf numFmtId="10" fontId="30" fillId="25" borderId="36" xfId="74" applyNumberFormat="1" applyFont="1" applyFill="1" applyBorder="1" applyAlignment="1" applyProtection="1">
      <alignment horizontal="center" vertical="center"/>
      <protection locked="0"/>
    </xf>
    <xf numFmtId="10" fontId="30" fillId="25" borderId="35" xfId="74" applyNumberFormat="1" applyFont="1" applyFill="1" applyBorder="1" applyAlignment="1" applyProtection="1">
      <alignment horizontal="center" vertical="center"/>
      <protection locked="0"/>
    </xf>
    <xf numFmtId="10" fontId="30" fillId="25" borderId="37" xfId="74" applyNumberFormat="1" applyFont="1" applyFill="1" applyBorder="1" applyAlignment="1" applyProtection="1">
      <alignment horizontal="center" vertical="center"/>
      <protection locked="0"/>
    </xf>
    <xf numFmtId="164" fontId="1" fillId="31" borderId="24" xfId="85" applyFont="1" applyFill="1" applyBorder="1" applyAlignment="1" applyProtection="1">
      <alignment vertical="center" wrapText="1"/>
      <protection locked="0"/>
    </xf>
    <xf numFmtId="0" fontId="1" fillId="31" borderId="24" xfId="0" applyNumberFormat="1" applyFont="1" applyFill="1" applyBorder="1" applyAlignment="1" applyProtection="1">
      <alignment horizontal="center" vertical="center" wrapText="1"/>
      <protection locked="0"/>
    </xf>
    <xf numFmtId="0" fontId="1" fillId="31" borderId="24" xfId="0" applyNumberFormat="1" applyFont="1" applyFill="1" applyBorder="1" applyAlignment="1" applyProtection="1">
      <alignment vertical="center" wrapText="1"/>
      <protection locked="0"/>
    </xf>
    <xf numFmtId="10" fontId="1" fillId="31" borderId="24" xfId="74" applyNumberFormat="1" applyFont="1" applyFill="1" applyBorder="1" applyAlignment="1" applyProtection="1">
      <alignment horizontal="center" vertical="center" wrapText="1"/>
      <protection locked="0"/>
    </xf>
    <xf numFmtId="164" fontId="1" fillId="25" borderId="24" xfId="85" applyNumberFormat="1" applyFont="1" applyFill="1" applyBorder="1" applyAlignment="1" applyProtection="1">
      <alignment vertical="center" shrinkToFit="1"/>
      <protection locked="0"/>
    </xf>
    <xf numFmtId="0" fontId="26" fillId="0" borderId="0" xfId="0" applyFont="1" applyFill="1" applyBorder="1" applyAlignment="1" applyProtection="1">
      <alignment horizontal="center" vertical="center" wrapText="1"/>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1" fillId="0" borderId="0" xfId="0" applyFont="1" applyFill="1" applyBorder="1" applyAlignment="1" applyProtection="1">
      <alignment horizontal="left" wrapText="1" indent="3"/>
    </xf>
    <xf numFmtId="0" fontId="0" fillId="0" borderId="0" xfId="0" applyAlignment="1" applyProtection="1">
      <alignment horizontal="left" indent="3"/>
    </xf>
    <xf numFmtId="0" fontId="22" fillId="0" borderId="11" xfId="70" applyFont="1" applyBorder="1" applyAlignment="1" applyProtection="1">
      <alignment horizontal="left" vertical="top"/>
    </xf>
    <xf numFmtId="0" fontId="22" fillId="0" borderId="0" xfId="70" applyFont="1" applyBorder="1" applyAlignment="1" applyProtection="1">
      <alignment horizontal="left" vertical="top"/>
    </xf>
    <xf numFmtId="0" fontId="1" fillId="0" borderId="0" xfId="0" applyFont="1" applyFill="1" applyBorder="1" applyAlignment="1" applyProtection="1">
      <alignment horizontal="left" wrapText="1" indent="2"/>
    </xf>
    <xf numFmtId="0" fontId="0" fillId="0" borderId="0" xfId="0" applyAlignment="1" applyProtection="1">
      <alignment horizontal="left" indent="2"/>
    </xf>
    <xf numFmtId="0" fontId="22" fillId="0" borderId="40" xfId="0" applyFont="1" applyFill="1" applyBorder="1" applyAlignment="1" applyProtection="1">
      <alignment horizontal="left" wrapText="1"/>
    </xf>
    <xf numFmtId="0" fontId="22" fillId="0" borderId="0" xfId="0" applyFont="1" applyFill="1" applyBorder="1" applyAlignment="1" applyProtection="1">
      <alignment horizontal="left" wrapText="1"/>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22" fillId="0" borderId="11" xfId="70" applyFont="1" applyFill="1" applyBorder="1" applyAlignment="1" applyProtection="1">
      <alignment horizontal="left" vertical="top"/>
    </xf>
    <xf numFmtId="0" fontId="22" fillId="0" borderId="0" xfId="70" applyFont="1" applyFill="1" applyBorder="1" applyAlignment="1" applyProtection="1">
      <alignment horizontal="left" vertical="top"/>
    </xf>
    <xf numFmtId="0" fontId="22" fillId="0" borderId="12" xfId="70" applyFont="1" applyFill="1" applyBorder="1" applyAlignment="1" applyProtection="1">
      <alignment horizontal="left" vertical="top"/>
    </xf>
    <xf numFmtId="0" fontId="22" fillId="0" borderId="12" xfId="70" applyFont="1" applyBorder="1" applyAlignment="1" applyProtection="1">
      <alignment horizontal="left" vertical="top"/>
    </xf>
    <xf numFmtId="0" fontId="0" fillId="25" borderId="38" xfId="0" applyFill="1" applyBorder="1" applyAlignment="1" applyProtection="1">
      <alignment horizontal="left" vertical="top" wrapText="1"/>
      <protection locked="0"/>
    </xf>
    <xf numFmtId="0" fontId="51" fillId="29" borderId="0" xfId="0" applyFont="1" applyFill="1" applyBorder="1" applyAlignment="1" applyProtection="1">
      <alignment horizontal="left" vertical="top" wrapText="1" indent="2"/>
    </xf>
    <xf numFmtId="0" fontId="52" fillId="29" borderId="0" xfId="0" applyFont="1" applyFill="1" applyBorder="1" applyAlignment="1" applyProtection="1">
      <alignment horizontal="left" vertical="top" wrapText="1" indent="2"/>
    </xf>
    <xf numFmtId="0" fontId="52" fillId="29" borderId="0" xfId="0" applyFont="1" applyFill="1" applyAlignment="1" applyProtection="1">
      <alignment horizontal="left" vertical="top" indent="2"/>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0" fontId="38" fillId="0" borderId="11" xfId="70" applyFont="1" applyBorder="1" applyAlignment="1" applyProtection="1">
      <alignment horizontal="left" vertical="top"/>
    </xf>
    <xf numFmtId="0" fontId="38" fillId="0" borderId="12" xfId="70" applyFont="1" applyBorder="1" applyAlignment="1" applyProtection="1">
      <alignment horizontal="left" vertical="top"/>
    </xf>
    <xf numFmtId="0" fontId="21" fillId="26" borderId="17" xfId="0" applyFont="1" applyFill="1" applyBorder="1" applyAlignment="1" applyProtection="1">
      <alignment horizontal="center" vertical="center" wrapText="1"/>
    </xf>
    <xf numFmtId="0" fontId="21" fillId="26" borderId="39" xfId="0" applyFont="1" applyFill="1" applyBorder="1" applyAlignment="1" applyProtection="1">
      <alignment horizontal="center" vertical="center" wrapText="1"/>
    </xf>
    <xf numFmtId="0" fontId="21" fillId="26" borderId="13" xfId="0" applyFont="1" applyFill="1" applyBorder="1" applyAlignment="1" applyProtection="1">
      <alignment horizontal="center" vertical="center" wrapText="1"/>
    </xf>
    <xf numFmtId="0" fontId="21" fillId="26" borderId="38" xfId="0" applyFont="1" applyFill="1" applyBorder="1" applyAlignment="1" applyProtection="1">
      <alignment horizontal="center" vertical="center" wrapText="1"/>
    </xf>
    <xf numFmtId="49" fontId="0" fillId="25" borderId="0" xfId="0" applyNumberFormat="1" applyFill="1" applyBorder="1" applyAlignment="1" applyProtection="1">
      <alignment horizontal="left"/>
      <protection locked="0"/>
    </xf>
    <xf numFmtId="14" fontId="1" fillId="25" borderId="18" xfId="74" applyNumberFormat="1" applyFont="1" applyFill="1" applyBorder="1" applyAlignment="1" applyProtection="1">
      <alignment horizontal="center" vertical="top" wrapText="1"/>
      <protection locked="0"/>
    </xf>
    <xf numFmtId="14" fontId="37" fillId="25" borderId="38" xfId="74" applyNumberFormat="1" applyFont="1" applyFill="1" applyBorder="1" applyAlignment="1" applyProtection="1">
      <alignment horizontal="center" vertical="top" wrapText="1"/>
      <protection locked="0"/>
    </xf>
    <xf numFmtId="49" fontId="1" fillId="25" borderId="18" xfId="74" applyNumberFormat="1" applyFont="1" applyFill="1" applyBorder="1" applyAlignment="1" applyProtection="1">
      <alignment horizontal="left" vertical="top" wrapText="1"/>
      <protection locked="0"/>
    </xf>
    <xf numFmtId="49" fontId="1" fillId="25" borderId="13" xfId="74" applyNumberFormat="1" applyFont="1" applyFill="1" applyBorder="1" applyAlignment="1" applyProtection="1">
      <alignment horizontal="left" vertical="top" wrapText="1"/>
      <protection locked="0"/>
    </xf>
    <xf numFmtId="49" fontId="37" fillId="25" borderId="13" xfId="74" applyNumberFormat="1" applyFont="1" applyFill="1" applyBorder="1" applyAlignment="1" applyProtection="1">
      <alignment horizontal="left" vertical="top" wrapText="1"/>
      <protection locked="0"/>
    </xf>
    <xf numFmtId="49" fontId="37" fillId="25" borderId="38" xfId="74" applyNumberFormat="1" applyFont="1" applyFill="1" applyBorder="1" applyAlignment="1" applyProtection="1">
      <alignment horizontal="left" vertical="top" wrapText="1"/>
      <protection locked="0"/>
    </xf>
    <xf numFmtId="14" fontId="1" fillId="25" borderId="38" xfId="74" applyNumberFormat="1" applyFont="1" applyFill="1" applyBorder="1" applyAlignment="1" applyProtection="1">
      <alignment horizontal="center" vertical="top" wrapText="1"/>
      <protection locked="0"/>
    </xf>
    <xf numFmtId="0" fontId="26" fillId="0" borderId="0" xfId="0" applyFont="1" applyFill="1" applyBorder="1" applyAlignment="1" applyProtection="1">
      <alignment horizontal="center" vertical="center" wrapText="1"/>
    </xf>
    <xf numFmtId="0" fontId="1" fillId="0" borderId="40" xfId="0" applyFont="1" applyFill="1" applyBorder="1" applyAlignment="1" applyProtection="1">
      <alignment horizontal="left" vertical="top" wrapText="1"/>
    </xf>
    <xf numFmtId="0" fontId="1" fillId="0" borderId="0" xfId="0" applyFont="1" applyFill="1" applyBorder="1" applyAlignment="1" applyProtection="1">
      <alignment horizontal="left" vertical="top" wrapText="1"/>
    </xf>
    <xf numFmtId="0" fontId="1" fillId="0" borderId="0" xfId="0" applyFont="1" applyFill="1" applyBorder="1" applyAlignment="1" applyProtection="1">
      <alignment horizontal="left" wrapText="1"/>
    </xf>
    <xf numFmtId="0" fontId="1" fillId="0" borderId="4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49" fontId="1" fillId="25" borderId="0" xfId="0" applyNumberFormat="1" applyFont="1" applyFill="1" applyBorder="1" applyAlignment="1" applyProtection="1">
      <alignment horizontal="left"/>
      <protection locked="0"/>
    </xf>
    <xf numFmtId="49" fontId="1" fillId="25" borderId="18" xfId="0" applyNumberFormat="1" applyFont="1" applyFill="1" applyBorder="1" applyAlignment="1" applyProtection="1">
      <alignment horizontal="left" vertical="top" wrapText="1"/>
      <protection locked="0"/>
    </xf>
    <xf numFmtId="49" fontId="1" fillId="25" borderId="38" xfId="0" applyNumberFormat="1" applyFont="1" applyFill="1" applyBorder="1" applyAlignment="1" applyProtection="1">
      <alignment horizontal="left" vertical="top" wrapText="1"/>
      <protection locked="0"/>
    </xf>
    <xf numFmtId="49" fontId="0" fillId="0" borderId="18" xfId="0" applyNumberFormat="1" applyFill="1" applyBorder="1" applyAlignment="1" applyProtection="1">
      <alignment horizontal="left" vertical="top" wrapText="1"/>
    </xf>
    <xf numFmtId="49" fontId="0" fillId="0" borderId="13" xfId="0" applyNumberFormat="1" applyFill="1" applyBorder="1" applyAlignment="1" applyProtection="1">
      <alignment horizontal="left" vertical="top" wrapText="1"/>
    </xf>
    <xf numFmtId="0" fontId="0" fillId="0" borderId="18" xfId="0" applyFill="1" applyBorder="1" applyAlignment="1" applyProtection="1">
      <alignment horizontal="left" vertical="top" wrapText="1"/>
    </xf>
    <xf numFmtId="0" fontId="0" fillId="0" borderId="13" xfId="0" applyFill="1" applyBorder="1" applyAlignment="1" applyProtection="1">
      <alignment horizontal="left" vertical="top" wrapText="1"/>
    </xf>
    <xf numFmtId="0" fontId="0" fillId="0" borderId="38" xfId="0" applyFill="1" applyBorder="1" applyAlignment="1" applyProtection="1">
      <alignment horizontal="left" vertical="top" wrapText="1"/>
    </xf>
    <xf numFmtId="0" fontId="38" fillId="0" borderId="11" xfId="70" applyFont="1" applyFill="1" applyBorder="1" applyAlignment="1" applyProtection="1">
      <alignment horizontal="left" vertical="top"/>
    </xf>
    <xf numFmtId="0" fontId="38" fillId="0" borderId="12" xfId="70" applyFont="1" applyFill="1" applyBorder="1" applyAlignment="1" applyProtection="1">
      <alignment horizontal="left" vertical="top"/>
    </xf>
    <xf numFmtId="167" fontId="0" fillId="0" borderId="18" xfId="0" applyNumberFormat="1" applyFill="1" applyBorder="1" applyAlignment="1" applyProtection="1">
      <alignment horizontal="center" vertical="top" wrapText="1"/>
    </xf>
    <xf numFmtId="167" fontId="0" fillId="0" borderId="38" xfId="0" applyNumberFormat="1" applyFill="1" applyBorder="1" applyAlignment="1" applyProtection="1">
      <alignment horizontal="center" vertical="top" wrapText="1"/>
    </xf>
    <xf numFmtId="0" fontId="1" fillId="0" borderId="18" xfId="0" applyFont="1" applyFill="1" applyBorder="1" applyAlignment="1" applyProtection="1">
      <alignment horizontal="left" vertical="top" wrapText="1"/>
    </xf>
    <xf numFmtId="0" fontId="1" fillId="0" borderId="13" xfId="0" applyFont="1" applyFill="1" applyBorder="1" applyAlignment="1" applyProtection="1">
      <alignment horizontal="left" vertical="top" wrapText="1"/>
    </xf>
    <xf numFmtId="0" fontId="1" fillId="0" borderId="38" xfId="0" applyFont="1" applyFill="1" applyBorder="1" applyAlignment="1" applyProtection="1">
      <alignment horizontal="left"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0" fontId="1" fillId="25" borderId="0" xfId="0" applyFont="1" applyFill="1" applyBorder="1" applyAlignment="1" applyProtection="1">
      <alignment horizontal="left"/>
      <protection locked="0"/>
    </xf>
    <xf numFmtId="0" fontId="0" fillId="25" borderId="0" xfId="0" applyFill="1" applyBorder="1" applyAlignment="1" applyProtection="1">
      <alignment horizontal="left"/>
      <protection locked="0"/>
    </xf>
    <xf numFmtId="0" fontId="51" fillId="29" borderId="0" xfId="0" applyFont="1" applyFill="1" applyAlignment="1" applyProtection="1">
      <alignment horizontal="left" vertical="top" indent="2"/>
    </xf>
    <xf numFmtId="10" fontId="1" fillId="0" borderId="18" xfId="74" applyNumberFormat="1" applyFont="1" applyFill="1" applyBorder="1" applyAlignment="1" applyProtection="1">
      <alignment horizontal="left" vertical="top" wrapText="1"/>
    </xf>
    <xf numFmtId="10" fontId="1" fillId="0" borderId="13" xfId="74" applyNumberFormat="1" applyFont="1" applyFill="1" applyBorder="1" applyAlignment="1" applyProtection="1">
      <alignment horizontal="left" vertical="top" wrapText="1"/>
    </xf>
    <xf numFmtId="10" fontId="37" fillId="0" borderId="13" xfId="74" applyNumberFormat="1" applyFont="1" applyFill="1" applyBorder="1" applyAlignment="1" applyProtection="1">
      <alignment horizontal="left" vertical="top" wrapText="1"/>
    </xf>
    <xf numFmtId="10" fontId="37" fillId="0" borderId="38" xfId="74" applyNumberFormat="1" applyFont="1" applyFill="1" applyBorder="1" applyAlignment="1" applyProtection="1">
      <alignment horizontal="left" vertical="top" wrapText="1"/>
    </xf>
    <xf numFmtId="14" fontId="37" fillId="0" borderId="18" xfId="74" applyNumberFormat="1" applyFont="1" applyFill="1" applyBorder="1" applyAlignment="1" applyProtection="1">
      <alignment horizontal="center" vertical="top" wrapText="1"/>
    </xf>
    <xf numFmtId="14" fontId="37" fillId="0" borderId="38" xfId="74" applyNumberFormat="1" applyFont="1" applyFill="1" applyBorder="1" applyAlignment="1" applyProtection="1">
      <alignment horizontal="center" vertical="top" wrapText="1"/>
    </xf>
    <xf numFmtId="14" fontId="1" fillId="0" borderId="18" xfId="74" applyNumberFormat="1" applyFont="1" applyFill="1" applyBorder="1" applyAlignment="1" applyProtection="1">
      <alignment horizontal="center" vertical="top" wrapText="1"/>
    </xf>
    <xf numFmtId="14" fontId="1" fillId="0" borderId="38" xfId="74" applyNumberFormat="1" applyFont="1" applyFill="1" applyBorder="1" applyAlignment="1" applyProtection="1">
      <alignment horizontal="center" vertical="top" wrapText="1"/>
    </xf>
    <xf numFmtId="167" fontId="1" fillId="0" borderId="18" xfId="74" applyNumberFormat="1" applyFont="1" applyFill="1" applyBorder="1" applyAlignment="1" applyProtection="1">
      <alignment horizontal="left" vertical="top" wrapText="1"/>
    </xf>
    <xf numFmtId="167" fontId="1" fillId="0" borderId="13" xfId="74" applyNumberFormat="1" applyFont="1" applyFill="1" applyBorder="1" applyAlignment="1" applyProtection="1">
      <alignment horizontal="left" vertical="top" wrapText="1"/>
    </xf>
    <xf numFmtId="0" fontId="0" fillId="25" borderId="13" xfId="0" applyFill="1" applyBorder="1" applyAlignment="1" applyProtection="1">
      <alignment horizontal="left" vertical="top" wrapText="1"/>
      <protection locked="0"/>
    </xf>
    <xf numFmtId="0" fontId="0" fillId="25" borderId="18" xfId="0"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10" fontId="1" fillId="25" borderId="18" xfId="74" applyNumberFormat="1" applyFont="1" applyFill="1" applyBorder="1" applyAlignment="1" applyProtection="1">
      <alignment horizontal="left" vertical="top" wrapText="1"/>
      <protection locked="0"/>
    </xf>
    <xf numFmtId="10" fontId="37" fillId="25" borderId="13" xfId="74" applyNumberFormat="1" applyFont="1" applyFill="1" applyBorder="1" applyAlignment="1" applyProtection="1">
      <alignment horizontal="left" vertical="top" wrapText="1"/>
      <protection locked="0"/>
    </xf>
    <xf numFmtId="10" fontId="37" fillId="25" borderId="38" xfId="74" applyNumberFormat="1" applyFont="1" applyFill="1" applyBorder="1" applyAlignment="1" applyProtection="1">
      <alignment horizontal="left" vertical="top" wrapText="1"/>
      <protection locked="0"/>
    </xf>
    <xf numFmtId="171" fontId="1" fillId="0" borderId="0" xfId="69" applyNumberFormat="1" applyFont="1" applyFill="1" applyBorder="1" applyAlignment="1" applyProtection="1">
      <alignment horizontal="left"/>
    </xf>
    <xf numFmtId="0" fontId="45" fillId="0" borderId="0" xfId="69" applyFont="1" applyAlignment="1" applyProtection="1">
      <alignment horizontal="left" vertical="center" indent="1"/>
    </xf>
    <xf numFmtId="0" fontId="1" fillId="0" borderId="14" xfId="69" applyFont="1" applyBorder="1" applyAlignment="1" applyProtection="1">
      <alignment horizontal="left" vertical="center" wrapText="1"/>
    </xf>
    <xf numFmtId="0" fontId="39" fillId="0" borderId="0" xfId="69" applyFont="1" applyBorder="1" applyAlignment="1" applyProtection="1">
      <alignment horizontal="left" vertical="center" wrapText="1"/>
    </xf>
    <xf numFmtId="2" fontId="33" fillId="0" borderId="17" xfId="69" applyNumberFormat="1" applyFont="1" applyFill="1" applyBorder="1" applyAlignment="1" applyProtection="1">
      <alignment horizontal="center" vertical="center"/>
    </xf>
    <xf numFmtId="0" fontId="26" fillId="0" borderId="0" xfId="69" applyFont="1" applyBorder="1" applyAlignment="1" applyProtection="1">
      <alignment horizontal="left" vertical="center"/>
    </xf>
    <xf numFmtId="0" fontId="1" fillId="0" borderId="0" xfId="69" applyFont="1" applyBorder="1" applyAlignment="1" applyProtection="1">
      <alignment horizontal="center" vertical="center"/>
    </xf>
    <xf numFmtId="0" fontId="35" fillId="0" borderId="14" xfId="69" applyFont="1" applyBorder="1" applyAlignment="1" applyProtection="1">
      <alignment horizontal="center" vertical="center" wrapText="1"/>
    </xf>
    <xf numFmtId="168" fontId="1" fillId="0" borderId="13" xfId="69" applyNumberFormat="1" applyFont="1" applyBorder="1" applyAlignment="1" applyProtection="1">
      <alignment horizontal="left"/>
    </xf>
    <xf numFmtId="49" fontId="1" fillId="25" borderId="32" xfId="69" applyNumberFormat="1" applyFont="1" applyFill="1" applyBorder="1" applyAlignment="1" applyProtection="1">
      <alignment horizontal="left" vertical="top" wrapText="1"/>
      <protection locked="0"/>
    </xf>
    <xf numFmtId="49" fontId="1" fillId="25" borderId="10" xfId="69" applyNumberFormat="1" applyFont="1" applyFill="1" applyBorder="1" applyAlignment="1" applyProtection="1">
      <alignment horizontal="left" vertical="top" wrapText="1"/>
      <protection locked="0"/>
    </xf>
    <xf numFmtId="49" fontId="1" fillId="25" borderId="19" xfId="69" applyNumberFormat="1" applyFont="1" applyFill="1" applyBorder="1" applyAlignment="1" applyProtection="1">
      <alignment horizontal="left" vertical="top" wrapText="1"/>
      <protection locked="0"/>
    </xf>
    <xf numFmtId="0" fontId="1" fillId="0" borderId="17" xfId="69" applyFont="1" applyBorder="1" applyAlignment="1" applyProtection="1">
      <alignment horizontal="center" vertical="center"/>
    </xf>
    <xf numFmtId="49" fontId="1" fillId="0" borderId="0" xfId="69" applyNumberFormat="1" applyFont="1" applyFill="1" applyBorder="1" applyAlignment="1" applyProtection="1">
      <alignment horizontal="left"/>
      <protection locked="0"/>
    </xf>
    <xf numFmtId="0" fontId="47" fillId="0" borderId="0" xfId="69" applyFont="1" applyAlignment="1" applyProtection="1">
      <alignment horizontal="center" vertical="top" wrapText="1"/>
    </xf>
    <xf numFmtId="171" fontId="1" fillId="0" borderId="13" xfId="69" applyNumberFormat="1" applyFont="1" applyFill="1" applyBorder="1" applyAlignment="1" applyProtection="1">
      <alignment horizontal="left"/>
    </xf>
    <xf numFmtId="0" fontId="1" fillId="0" borderId="14" xfId="69" applyFont="1" applyBorder="1" applyAlignment="1" applyProtection="1">
      <alignment horizontal="left" vertical="center"/>
    </xf>
    <xf numFmtId="0" fontId="22" fillId="0" borderId="14" xfId="69" applyFont="1" applyFill="1" applyBorder="1" applyAlignment="1" applyProtection="1">
      <alignment horizontal="center" vertical="center"/>
    </xf>
    <xf numFmtId="0" fontId="41" fillId="0" borderId="0" xfId="0" quotePrefix="1" applyFont="1" applyBorder="1" applyAlignment="1" applyProtection="1">
      <alignment horizontal="left" vertical="center"/>
    </xf>
    <xf numFmtId="0" fontId="41" fillId="0" borderId="0" xfId="0" applyFont="1" applyBorder="1" applyAlignment="1" applyProtection="1">
      <alignment horizontal="left" vertical="center"/>
    </xf>
    <xf numFmtId="0" fontId="42" fillId="0" borderId="0" xfId="0" applyFont="1" applyBorder="1" applyAlignment="1" applyProtection="1">
      <alignment horizontal="center"/>
    </xf>
    <xf numFmtId="0" fontId="41" fillId="0" borderId="0" xfId="0" applyFont="1" applyBorder="1" applyAlignment="1" applyProtection="1">
      <alignment horizontal="center" vertical="top"/>
    </xf>
    <xf numFmtId="0" fontId="41" fillId="0" borderId="0" xfId="0" applyFont="1" applyBorder="1" applyAlignment="1" applyProtection="1">
      <alignment horizontal="right" vertical="center"/>
    </xf>
    <xf numFmtId="169" fontId="2" fillId="25" borderId="18" xfId="67" applyFont="1" applyFill="1" applyBorder="1" applyAlignment="1" applyProtection="1">
      <alignment horizontal="left"/>
      <protection locked="0"/>
    </xf>
    <xf numFmtId="169" fontId="2" fillId="25" borderId="13" xfId="67" applyFont="1" applyFill="1" applyBorder="1" applyAlignment="1" applyProtection="1">
      <alignment horizontal="left"/>
      <protection locked="0"/>
    </xf>
    <xf numFmtId="169" fontId="2" fillId="25" borderId="38" xfId="67" applyFont="1" applyFill="1" applyBorder="1" applyAlignment="1" applyProtection="1">
      <alignment horizontal="left"/>
      <protection locked="0"/>
    </xf>
    <xf numFmtId="0" fontId="1" fillId="0" borderId="18" xfId="69" applyFont="1" applyFill="1" applyBorder="1" applyAlignment="1" applyProtection="1">
      <alignment horizontal="center" vertical="top" wrapText="1"/>
    </xf>
    <xf numFmtId="0" fontId="1" fillId="0" borderId="38" xfId="69" applyFont="1" applyFill="1" applyBorder="1" applyAlignment="1" applyProtection="1">
      <alignment horizontal="center" vertical="top" wrapText="1"/>
    </xf>
    <xf numFmtId="0" fontId="1" fillId="0" borderId="18" xfId="69" applyFont="1" applyFill="1" applyBorder="1" applyAlignment="1" applyProtection="1">
      <alignment horizontal="left" vertical="top" wrapText="1"/>
    </xf>
    <xf numFmtId="0" fontId="1" fillId="0" borderId="38" xfId="69" applyFont="1" applyFill="1" applyBorder="1" applyAlignment="1" applyProtection="1">
      <alignment horizontal="left" vertical="top" wrapText="1"/>
    </xf>
    <xf numFmtId="49" fontId="1" fillId="0" borderId="18" xfId="69" applyNumberFormat="1" applyFont="1" applyFill="1" applyBorder="1" applyAlignment="1" applyProtection="1">
      <alignment horizontal="left" vertical="top" wrapText="1"/>
    </xf>
    <xf numFmtId="0" fontId="1" fillId="0" borderId="13" xfId="69" applyNumberFormat="1" applyFont="1" applyFill="1" applyBorder="1" applyAlignment="1" applyProtection="1">
      <alignment horizontal="left" vertical="top" wrapText="1"/>
    </xf>
    <xf numFmtId="0" fontId="1" fillId="0" borderId="38" xfId="69" applyNumberFormat="1" applyFont="1" applyFill="1" applyBorder="1" applyAlignment="1" applyProtection="1">
      <alignment horizontal="left" vertical="top" wrapText="1"/>
    </xf>
    <xf numFmtId="0" fontId="2" fillId="0" borderId="16" xfId="67" applyNumberFormat="1" applyFont="1" applyFill="1" applyBorder="1" applyAlignment="1" applyProtection="1">
      <alignment horizontal="left" wrapText="1"/>
    </xf>
    <xf numFmtId="0" fontId="22" fillId="0" borderId="0" xfId="69" applyFont="1" applyBorder="1" applyAlignment="1" applyProtection="1">
      <alignment horizontal="left" vertical="center"/>
    </xf>
    <xf numFmtId="10" fontId="2" fillId="25" borderId="14" xfId="69" applyNumberFormat="1" applyFont="1" applyFill="1" applyBorder="1" applyAlignment="1" applyProtection="1">
      <alignment horizontal="center"/>
      <protection locked="0"/>
    </xf>
    <xf numFmtId="0" fontId="2" fillId="0" borderId="14" xfId="69" applyFont="1" applyFill="1" applyBorder="1" applyAlignment="1" applyProtection="1">
      <alignment horizontal="left"/>
    </xf>
    <xf numFmtId="0" fontId="26" fillId="0" borderId="14" xfId="69" applyFont="1" applyBorder="1" applyAlignment="1" applyProtection="1">
      <alignment horizontal="center" vertical="center"/>
    </xf>
    <xf numFmtId="0" fontId="2" fillId="0" borderId="14" xfId="69" applyFont="1" applyFill="1" applyBorder="1" applyAlignment="1" applyProtection="1">
      <alignment horizontal="left" wrapText="1"/>
    </xf>
    <xf numFmtId="0" fontId="26" fillId="0" borderId="14" xfId="69" applyFont="1" applyFill="1" applyBorder="1" applyAlignment="1" applyProtection="1">
      <alignment horizontal="center" vertical="center"/>
    </xf>
    <xf numFmtId="4" fontId="26" fillId="0" borderId="14" xfId="69" applyNumberFormat="1" applyFont="1" applyFill="1" applyBorder="1" applyAlignment="1" applyProtection="1">
      <alignment horizontal="center" vertical="center" wrapText="1"/>
    </xf>
    <xf numFmtId="0" fontId="1" fillId="0" borderId="14" xfId="0" applyFont="1" applyBorder="1" applyAlignment="1">
      <alignment horizontal="center"/>
    </xf>
    <xf numFmtId="0" fontId="26" fillId="0" borderId="32" xfId="0" applyFont="1" applyFill="1" applyBorder="1" applyAlignment="1" applyProtection="1">
      <alignment horizontal="left" wrapText="1"/>
    </xf>
    <xf numFmtId="0" fontId="26" fillId="0" borderId="10" xfId="0" applyFont="1" applyFill="1" applyBorder="1" applyAlignment="1" applyProtection="1">
      <alignment horizontal="left" wrapText="1"/>
    </xf>
    <xf numFmtId="0" fontId="26" fillId="0" borderId="19" xfId="0" applyFont="1" applyFill="1" applyBorder="1" applyAlignment="1" applyProtection="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Border="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Border="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pplyProtection="1">
      <alignment horizontal="left"/>
    </xf>
    <xf numFmtId="170" fontId="1" fillId="0" borderId="13" xfId="0" applyNumberFormat="1" applyFont="1" applyBorder="1" applyAlignment="1" applyProtection="1">
      <alignment horizontal="left"/>
    </xf>
    <xf numFmtId="168" fontId="1" fillId="0" borderId="0" xfId="0" applyNumberFormat="1" applyFont="1" applyFill="1" applyBorder="1" applyAlignment="1" applyProtection="1">
      <alignment horizontal="left"/>
    </xf>
    <xf numFmtId="0" fontId="30" fillId="30" borderId="36" xfId="0" applyFont="1" applyFill="1" applyBorder="1" applyAlignment="1" applyProtection="1">
      <alignment horizontal="center" vertical="center" shrinkToFit="1"/>
    </xf>
    <xf numFmtId="0" fontId="30" fillId="30" borderId="11" xfId="0" applyFont="1" applyFill="1" applyBorder="1" applyAlignment="1" applyProtection="1">
      <alignment horizontal="center" vertical="center" shrinkToFit="1"/>
    </xf>
    <xf numFmtId="0" fontId="30" fillId="30" borderId="37" xfId="0" applyFont="1" applyFill="1" applyBorder="1" applyAlignment="1" applyProtection="1">
      <alignment horizontal="center" vertical="center" wrapText="1"/>
    </xf>
    <xf numFmtId="0" fontId="30" fillId="30" borderId="12" xfId="0" applyFont="1" applyFill="1" applyBorder="1" applyAlignment="1" applyProtection="1">
      <alignment horizontal="center" vertical="center" wrapText="1"/>
    </xf>
    <xf numFmtId="4" fontId="30" fillId="30" borderId="28" xfId="0" applyNumberFormat="1" applyFont="1" applyFill="1" applyBorder="1" applyAlignment="1" applyProtection="1">
      <alignment horizontal="center" vertical="center"/>
    </xf>
    <xf numFmtId="4" fontId="30" fillId="30" borderId="15" xfId="0" applyNumberFormat="1" applyFont="1" applyFill="1" applyBorder="1" applyAlignment="1" applyProtection="1">
      <alignment horizontal="center" vertical="center"/>
    </xf>
    <xf numFmtId="0" fontId="49" fillId="0" borderId="0" xfId="0" applyFont="1" applyAlignment="1" applyProtection="1">
      <alignment horizontal="center" vertical="top" wrapText="1"/>
    </xf>
    <xf numFmtId="49" fontId="1" fillId="0" borderId="0" xfId="0" applyNumberFormat="1" applyFont="1" applyFill="1" applyBorder="1" applyAlignment="1" applyProtection="1">
      <alignment horizontal="left"/>
    </xf>
    <xf numFmtId="0" fontId="1" fillId="0" borderId="0" xfId="0" applyFont="1" applyFill="1" applyBorder="1" applyAlignment="1" applyProtection="1">
      <alignment horizontal="left"/>
    </xf>
    <xf numFmtId="171" fontId="1" fillId="0" borderId="13" xfId="0" applyNumberFormat="1" applyFont="1" applyFill="1" applyBorder="1" applyAlignment="1" applyProtection="1">
      <alignment horizontal="left" vertical="center"/>
    </xf>
    <xf numFmtId="170" fontId="1" fillId="0" borderId="13" xfId="0" applyNumberFormat="1" applyFont="1" applyBorder="1" applyAlignment="1" applyProtection="1">
      <alignment horizontal="left" vertical="center"/>
    </xf>
    <xf numFmtId="0" fontId="26" fillId="24" borderId="21" xfId="0" applyFont="1" applyFill="1" applyBorder="1" applyAlignment="1" applyProtection="1">
      <alignment horizontal="center" vertical="center" wrapText="1"/>
    </xf>
    <xf numFmtId="0" fontId="26" fillId="24" borderId="39" xfId="0" applyFont="1" applyFill="1" applyBorder="1" applyAlignment="1" applyProtection="1">
      <alignment horizontal="center" vertical="center" wrapText="1"/>
    </xf>
    <xf numFmtId="0" fontId="26" fillId="24" borderId="11" xfId="0" applyFont="1" applyFill="1" applyBorder="1" applyAlignment="1" applyProtection="1">
      <alignment horizontal="center" vertical="center" wrapText="1"/>
    </xf>
    <xf numFmtId="0" fontId="26" fillId="24" borderId="12" xfId="0" applyFont="1" applyFill="1" applyBorder="1" applyAlignment="1" applyProtection="1">
      <alignment horizontal="center" vertical="center" wrapText="1"/>
    </xf>
    <xf numFmtId="0" fontId="26" fillId="24" borderId="18" xfId="0" applyFont="1" applyFill="1" applyBorder="1" applyAlignment="1" applyProtection="1">
      <alignment horizontal="center" vertical="center" wrapText="1"/>
    </xf>
    <xf numFmtId="0" fontId="26" fillId="24" borderId="38" xfId="0" applyFont="1" applyFill="1" applyBorder="1" applyAlignment="1" applyProtection="1">
      <alignment horizontal="center" vertical="center" wrapText="1"/>
    </xf>
    <xf numFmtId="4" fontId="26" fillId="24" borderId="30" xfId="0" applyNumberFormat="1" applyFont="1" applyFill="1" applyBorder="1" applyAlignment="1" applyProtection="1">
      <alignment horizontal="center" vertical="center" shrinkToFit="1"/>
    </xf>
    <xf numFmtId="4" fontId="26" fillId="24" borderId="15" xfId="0" applyNumberFormat="1" applyFont="1" applyFill="1" applyBorder="1" applyAlignment="1" applyProtection="1">
      <alignment horizontal="center" vertical="center" shrinkToFit="1"/>
    </xf>
    <xf numFmtId="4" fontId="26" fillId="24" borderId="16" xfId="0" applyNumberFormat="1" applyFont="1" applyFill="1" applyBorder="1" applyAlignment="1" applyProtection="1">
      <alignment horizontal="center" vertical="center" shrinkToFit="1"/>
    </xf>
    <xf numFmtId="0" fontId="2" fillId="25" borderId="23" xfId="0" applyNumberFormat="1" applyFont="1" applyFill="1" applyBorder="1" applyAlignment="1" applyProtection="1">
      <alignment vertical="center" wrapText="1"/>
    </xf>
    <xf numFmtId="49" fontId="1" fillId="25" borderId="24" xfId="0" applyNumberFormat="1" applyFont="1" applyFill="1" applyBorder="1" applyAlignment="1" applyProtection="1">
      <alignment horizontal="center" vertical="center" wrapText="1"/>
    </xf>
    <xf numFmtId="49" fontId="53" fillId="25" borderId="24" xfId="0" applyNumberFormat="1" applyFont="1" applyFill="1" applyBorder="1" applyAlignment="1" applyProtection="1">
      <alignment horizontal="center" vertical="center" wrapText="1"/>
    </xf>
    <xf numFmtId="0" fontId="1" fillId="31" borderId="24" xfId="0" applyNumberFormat="1" applyFont="1" applyFill="1" applyBorder="1" applyAlignment="1" applyProtection="1">
      <alignment vertical="center" wrapText="1"/>
    </xf>
    <xf numFmtId="0" fontId="1" fillId="31" borderId="24" xfId="0" applyNumberFormat="1" applyFont="1" applyFill="1" applyBorder="1" applyAlignment="1" applyProtection="1">
      <alignment horizontal="center" vertical="center" wrapText="1"/>
    </xf>
    <xf numFmtId="164" fontId="1" fillId="25" borderId="24" xfId="85" applyNumberFormat="1" applyFont="1" applyFill="1" applyBorder="1" applyAlignment="1" applyProtection="1">
      <alignment vertical="center" shrinkToFit="1"/>
    </xf>
    <xf numFmtId="164" fontId="1" fillId="25" borderId="34" xfId="85" applyFont="1" applyFill="1" applyBorder="1" applyAlignment="1" applyProtection="1">
      <alignment vertical="center" shrinkToFit="1"/>
    </xf>
    <xf numFmtId="0" fontId="1" fillId="25" borderId="25" xfId="0" applyFont="1" applyFill="1" applyBorder="1" applyAlignment="1" applyProtection="1">
      <alignment horizontal="center" textRotation="90" wrapText="1"/>
    </xf>
  </cellXfs>
  <cellStyles count="87">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xr:uid="{00000000-0005-0000-0000-00000C000000}"/>
    <cellStyle name="40% - Accent2" xfId="14" xr:uid="{00000000-0005-0000-0000-00000D000000}"/>
    <cellStyle name="40% - Accent3" xfId="15" xr:uid="{00000000-0005-0000-0000-00000E000000}"/>
    <cellStyle name="40% - Accent4" xfId="16" xr:uid="{00000000-0005-0000-0000-00000F000000}"/>
    <cellStyle name="40% - Accent5" xfId="17" xr:uid="{00000000-0005-0000-0000-000010000000}"/>
    <cellStyle name="40% - Accent6" xfId="18" xr:uid="{00000000-0005-0000-0000-000011000000}"/>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xr:uid="{00000000-0005-0000-0000-000018000000}"/>
    <cellStyle name="60% - Accent2" xfId="26" xr:uid="{00000000-0005-0000-0000-000019000000}"/>
    <cellStyle name="60% - Accent3" xfId="27" xr:uid="{00000000-0005-0000-0000-00001A000000}"/>
    <cellStyle name="60% - Accent4" xfId="28" xr:uid="{00000000-0005-0000-0000-00001B000000}"/>
    <cellStyle name="60% - Accent5" xfId="29" xr:uid="{00000000-0005-0000-0000-00001C000000}"/>
    <cellStyle name="60% - Accent6" xfId="30" xr:uid="{00000000-0005-0000-0000-00001D00000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xr:uid="{00000000-0005-0000-0000-000024000000}"/>
    <cellStyle name="Accent2" xfId="38" xr:uid="{00000000-0005-0000-0000-000025000000}"/>
    <cellStyle name="Accent3" xfId="39" xr:uid="{00000000-0005-0000-0000-000026000000}"/>
    <cellStyle name="Accent4" xfId="40" xr:uid="{00000000-0005-0000-0000-000027000000}"/>
    <cellStyle name="Accent5" xfId="41" xr:uid="{00000000-0005-0000-0000-000028000000}"/>
    <cellStyle name="Accent6" xfId="42" xr:uid="{00000000-0005-0000-0000-000029000000}"/>
    <cellStyle name="Bad" xfId="43" xr:uid="{00000000-0005-0000-0000-00002A000000}"/>
    <cellStyle name="Bom" xfId="44" builtinId="26" customBuiltin="1"/>
    <cellStyle name="Calculation" xfId="45" xr:uid="{00000000-0005-0000-0000-00002C000000}"/>
    <cellStyle name="Cálculo" xfId="46" builtinId="22" customBuiltin="1"/>
    <cellStyle name="Célula de Verificação" xfId="47" builtinId="23" customBuiltin="1"/>
    <cellStyle name="Célula Vinculada" xfId="48" builtinId="24" customBuiltin="1"/>
    <cellStyle name="Check Cell" xfId="49" xr:uid="{00000000-0005-0000-0000-000030000000}"/>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xr:uid="{00000000-0005-0000-0000-000038000000}"/>
    <cellStyle name="Explanatory Text" xfId="58" xr:uid="{00000000-0005-0000-0000-000039000000}"/>
    <cellStyle name="Good" xfId="59" xr:uid="{00000000-0005-0000-0000-00003A000000}"/>
    <cellStyle name="Heading 1" xfId="60" xr:uid="{00000000-0005-0000-0000-00003B000000}"/>
    <cellStyle name="Heading 2" xfId="61" xr:uid="{00000000-0005-0000-0000-00003C000000}"/>
    <cellStyle name="Heading 3" xfId="62" xr:uid="{00000000-0005-0000-0000-00003D000000}"/>
    <cellStyle name="Heading 4" xfId="63" xr:uid="{00000000-0005-0000-0000-00003E000000}"/>
    <cellStyle name="Input" xfId="64" xr:uid="{00000000-0005-0000-0000-00003F000000}"/>
    <cellStyle name="Linked Cell" xfId="65" xr:uid="{00000000-0005-0000-0000-000040000000}"/>
    <cellStyle name="Moeda 2" xfId="66" xr:uid="{00000000-0005-0000-0000-000041000000}"/>
    <cellStyle name="Moeda_Composicao BDI v2.1" xfId="67" xr:uid="{00000000-0005-0000-0000-000042000000}"/>
    <cellStyle name="Neutral" xfId="68" xr:uid="{00000000-0005-0000-0000-000043000000}"/>
    <cellStyle name="Normal" xfId="0" builtinId="0"/>
    <cellStyle name="Normal 2" xfId="69" xr:uid="{00000000-0005-0000-0000-000045000000}"/>
    <cellStyle name="Normal_FICHA DE VERIFICAÇÃO PRELIMINAR - Plano R" xfId="70" xr:uid="{00000000-0005-0000-0000-000046000000}"/>
    <cellStyle name="Nota" xfId="71" builtinId="10" customBuiltin="1"/>
    <cellStyle name="Note" xfId="72" xr:uid="{00000000-0005-0000-0000-000048000000}"/>
    <cellStyle name="Output" xfId="73" xr:uid="{00000000-0005-0000-0000-000049000000}"/>
    <cellStyle name="Porcentagem" xfId="74" builtinId="5"/>
    <cellStyle name="Saída" xfId="75" builtinId="21" customBuiltin="1"/>
    <cellStyle name="Texto de Aviso" xfId="76" builtinId="11" customBuiltin="1"/>
    <cellStyle name="Texto Explicativo" xfId="77" builtinId="53" customBuiltin="1"/>
    <cellStyle name="Title" xfId="78" xr:uid="{00000000-0005-0000-0000-00004E000000}"/>
    <cellStyle name="Título" xfId="79" builtinId="15" customBuiltin="1"/>
    <cellStyle name="Título 1" xfId="80" builtinId="16" customBuiltin="1"/>
    <cellStyle name="Título 2" xfId="81" builtinId="17" customBuiltin="1"/>
    <cellStyle name="Título 3" xfId="82" builtinId="18" customBuiltin="1"/>
    <cellStyle name="Título 4" xfId="83" builtinId="19" customBuiltin="1"/>
    <cellStyle name="Total" xfId="84" builtinId="25" customBuiltin="1"/>
    <cellStyle name="Vírgula" xfId="85" builtinId="3"/>
    <cellStyle name="Warning Text" xfId="86" xr:uid="{00000000-0005-0000-0000-000056000000}"/>
  </cellStyles>
  <dxfs count="333">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5.emf"/><Relationship Id="rId1" Type="http://schemas.openxmlformats.org/officeDocument/2006/relationships/image" Target="../media/image4.emf"/></Relationships>
</file>

<file path=xl/drawings/_rels/drawing3.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9.emf"/><Relationship Id="rId1" Type="http://schemas.openxmlformats.org/officeDocument/2006/relationships/image" Target="../media/image8.emf"/><Relationship Id="rId5" Type="http://schemas.openxmlformats.org/officeDocument/2006/relationships/image" Target="../media/image2.emf"/><Relationship Id="rId4" Type="http://schemas.openxmlformats.org/officeDocument/2006/relationships/image" Target="../media/image1.emf"/></Relationships>
</file>

<file path=xl/drawings/_rels/drawing4.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9.emf"/><Relationship Id="rId1" Type="http://schemas.openxmlformats.org/officeDocument/2006/relationships/image" Target="../media/image4.emf"/><Relationship Id="rId6" Type="http://schemas.openxmlformats.org/officeDocument/2006/relationships/image" Target="../media/image8.emf"/><Relationship Id="rId5" Type="http://schemas.openxmlformats.org/officeDocument/2006/relationships/image" Target="../media/image2.emf"/><Relationship Id="rId4"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11.emf"/><Relationship Id="rId1" Type="http://schemas.openxmlformats.org/officeDocument/2006/relationships/image" Target="../media/image10.emf"/><Relationship Id="rId4" Type="http://schemas.openxmlformats.org/officeDocument/2006/relationships/image" Target="../media/image3.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11.emf"/><Relationship Id="rId1" Type="http://schemas.openxmlformats.org/officeDocument/2006/relationships/image" Target="../media/image6.emf"/><Relationship Id="rId5" Type="http://schemas.openxmlformats.org/officeDocument/2006/relationships/image" Target="../media/image10.emf"/><Relationship Id="rId4"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100-000002000000}"/>
            </a:ext>
          </a:extLst>
        </xdr:cNvPr>
        <xdr:cNvSpPr txBox="1">
          <a:spLocks noChangeArrowheads="1"/>
        </xdr:cNvSpPr>
      </xdr:nvSpPr>
      <xdr:spPr bwMode="auto">
        <a:xfrm>
          <a:off x="7629525" y="885825"/>
          <a:ext cx="1057275" cy="342900"/>
        </a:xfrm>
        <a:prstGeom prst="rect">
          <a:avLst/>
        </a:prstGeom>
        <a:solidFill>
          <a:srgbClr xmlns:mc="http://schemas.openxmlformats.org/markup-compatibility/2006" xmlns:a14="http://schemas.microsoft.com/office/drawing/2010/main" val="E3E3E3"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100-0000DC61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6569" name="SigiloPic">
              <a:extLst>
                <a:ext uri="{FF2B5EF4-FFF2-40B4-BE49-F238E27FC236}">
                  <a16:creationId xmlns:a16="http://schemas.microsoft.com/office/drawing/2014/main" id="{00000000-0008-0000-0100-000099630200}"/>
                </a:ext>
              </a:extLst>
            </xdr:cNvPr>
            <xdr:cNvPicPr>
              <a:picLocks noChangeArrowheads="1"/>
              <a:extLst>
                <a:ext uri="{84589F7E-364E-4C9E-8A38-B11213B215E9}">
                  <a14:cameraTool cellRange="PO!$T$1:$T$2" spid="_x0000_s156644"/>
                </a:ext>
              </a:extLst>
            </xdr:cNvPicPr>
          </xdr:nvPicPr>
          <xdr:blipFill>
            <a:blip xmlns:r="http://schemas.openxmlformats.org/officeDocument/2006/relationships" r:embed="rId1"/>
            <a:srcRect/>
            <a:stretch>
              <a:fillRect/>
            </a:stretch>
          </xdr:blipFill>
          <xdr:spPr bwMode="auto">
            <a:xfrm>
              <a:off x="6172200" y="285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585" name="Picture 482">
              <a:extLst>
                <a:ext uri="{FF2B5EF4-FFF2-40B4-BE49-F238E27FC236}">
                  <a16:creationId xmlns:a16="http://schemas.microsoft.com/office/drawing/2014/main" id="{00000000-0008-0000-0200-0000B9070300}"/>
                </a:ext>
              </a:extLst>
            </xdr:cNvPr>
            <xdr:cNvPicPr>
              <a:picLocks noChangeArrowheads="1"/>
              <a:extLst>
                <a:ext uri="{84589F7E-364E-4C9E-8A38-B11213B215E9}">
                  <a14:cameraTool cellRange="DADOS!$A$220:$X$230" spid="_x0000_s201839"/>
                </a:ext>
              </a:extLst>
            </xdr:cNvPicPr>
          </xdr:nvPicPr>
          <xdr:blipFill>
            <a:blip xmlns:r="http://schemas.openxmlformats.org/officeDocument/2006/relationships" r:embed="rId1"/>
            <a:srcRect/>
            <a:stretch>
              <a:fillRect/>
            </a:stretch>
          </xdr:blipFill>
          <xdr:spPr bwMode="auto">
            <a:xfrm>
              <a:off x="581025" y="485775"/>
              <a:ext cx="13820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id="{00000000-0008-0000-0200-00002BD6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13</xdr:col>
          <xdr:colOff>3686175</xdr:colOff>
          <xdr:row>237</xdr:row>
          <xdr:rowOff>0</xdr:rowOff>
        </xdr:from>
        <xdr:to>
          <xdr:col>19</xdr:col>
          <xdr:colOff>219075</xdr:colOff>
          <xdr:row>241</xdr:row>
          <xdr:rowOff>142875</xdr:rowOff>
        </xdr:to>
        <xdr:pic>
          <xdr:nvPicPr>
            <xdr:cNvPr id="198588" name="Picture 483">
              <a:extLst>
                <a:ext uri="{FF2B5EF4-FFF2-40B4-BE49-F238E27FC236}">
                  <a16:creationId xmlns:a16="http://schemas.microsoft.com/office/drawing/2014/main" id="{00000000-0008-0000-0200-0000BC070300}"/>
                </a:ext>
              </a:extLst>
            </xdr:cNvPr>
            <xdr:cNvPicPr>
              <a:picLocks noChangeArrowheads="1"/>
              <a:extLst>
                <a:ext uri="{84589F7E-364E-4C9E-8A38-B11213B215E9}">
                  <a14:cameraTool cellRange="DADOS!$A$53:$K$57" spid="_x0000_s201840"/>
                </a:ext>
              </a:extLst>
            </xdr:cNvPicPr>
          </xdr:nvPicPr>
          <xdr:blipFill>
            <a:blip xmlns:r="http://schemas.openxmlformats.org/officeDocument/2006/relationships" r:embed="rId2"/>
            <a:srcRect/>
            <a:stretch>
              <a:fillRect/>
            </a:stretch>
          </xdr:blipFill>
          <xdr:spPr bwMode="auto">
            <a:xfrm>
              <a:off x="7210425" y="53304281"/>
              <a:ext cx="6391275" cy="80962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id="{00000000-0008-0000-0300-0000A0F4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199394" name="PIC1">
              <a:extLst>
                <a:ext uri="{FF2B5EF4-FFF2-40B4-BE49-F238E27FC236}">
                  <a16:creationId xmlns:a16="http://schemas.microsoft.com/office/drawing/2014/main" id="{00000000-0008-0000-0300-0000E20A0300}"/>
                </a:ext>
              </a:extLst>
            </xdr:cNvPr>
            <xdr:cNvPicPr>
              <a:picLocks noChangeArrowheads="1"/>
              <a:extLst>
                <a:ext uri="{84589F7E-364E-4C9E-8A38-B11213B215E9}">
                  <a14:cameraTool cellRange="DADOS!$A$220:$X$230" spid="_x0000_s205840"/>
                </a:ext>
              </a:extLst>
            </xdr:cNvPicPr>
          </xdr:nvPicPr>
          <xdr:blipFill>
            <a:blip xmlns:r="http://schemas.openxmlformats.org/officeDocument/2006/relationships" r:embed="rId1"/>
            <a:srcRect r="56371"/>
            <a:stretch>
              <a:fillRect/>
            </a:stretch>
          </xdr:blipFill>
          <xdr:spPr bwMode="auto">
            <a:xfrm>
              <a:off x="847725" y="581025"/>
              <a:ext cx="6076950"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199395" name="PIC2">
              <a:extLst>
                <a:ext uri="{FF2B5EF4-FFF2-40B4-BE49-F238E27FC236}">
                  <a16:creationId xmlns:a16="http://schemas.microsoft.com/office/drawing/2014/main" id="{00000000-0008-0000-0300-0000E30A0300}"/>
                </a:ext>
              </a:extLst>
            </xdr:cNvPr>
            <xdr:cNvPicPr>
              <a:picLocks noChangeArrowheads="1"/>
              <a:extLst>
                <a:ext uri="{84589F7E-364E-4C9E-8A38-B11213B215E9}">
                  <a14:cameraTool cellRange="DADOS!$A$220:$X$230" spid="_x0000_s205841"/>
                </a:ext>
              </a:extLst>
            </xdr:cNvPicPr>
          </xdr:nvPicPr>
          <xdr:blipFill>
            <a:blip xmlns:r="http://schemas.openxmlformats.org/officeDocument/2006/relationships" r:embed="rId2"/>
            <a:srcRect l="44028"/>
            <a:stretch>
              <a:fillRect/>
            </a:stretch>
          </xdr:blipFill>
          <xdr:spPr bwMode="auto">
            <a:xfrm>
              <a:off x="6962775" y="581025"/>
              <a:ext cx="7800975"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a16="http://schemas.microsoft.com/office/drawing/2014/main" id="{00000000-0008-0000-03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xmlns:mc="http://schemas.openxmlformats.org/markup-compatibility/2006" xmlns:a14="http://schemas.microsoft.com/office/drawing/2010/main" val="CCFFCC" mc:Ignorable="a14" a14:legacySpreadsheetColorIndex="42"/>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mc:AlternateContent xmlns:mc="http://schemas.openxmlformats.org/markup-compatibility/2006">
    <mc:Choice xmlns:a14="http://schemas.microsoft.com/office/drawing/2010/main" Requires="a14">
      <xdr:twoCellAnchor>
        <xdr:from>
          <xdr:col>5</xdr:col>
          <xdr:colOff>704850</xdr:colOff>
          <xdr:row>228</xdr:row>
          <xdr:rowOff>9525</xdr:rowOff>
        </xdr:from>
        <xdr:to>
          <xdr:col>14</xdr:col>
          <xdr:colOff>28575</xdr:colOff>
          <xdr:row>232</xdr:row>
          <xdr:rowOff>152400</xdr:rowOff>
        </xdr:to>
        <xdr:pic>
          <xdr:nvPicPr>
            <xdr:cNvPr id="199399" name="Picture 483">
              <a:extLst>
                <a:ext uri="{FF2B5EF4-FFF2-40B4-BE49-F238E27FC236}">
                  <a16:creationId xmlns:a16="http://schemas.microsoft.com/office/drawing/2014/main" id="{00000000-0008-0000-0300-0000E70A0300}"/>
                </a:ext>
              </a:extLst>
            </xdr:cNvPr>
            <xdr:cNvPicPr>
              <a:picLocks noChangeArrowheads="1"/>
              <a:extLst>
                <a:ext uri="{84589F7E-364E-4C9E-8A38-B11213B215E9}">
                  <a14:cameraTool cellRange="DADOS!$A$53:$K$57" spid="_x0000_s205842"/>
                </a:ext>
              </a:extLst>
            </xdr:cNvPicPr>
          </xdr:nvPicPr>
          <xdr:blipFill>
            <a:blip xmlns:r="http://schemas.openxmlformats.org/officeDocument/2006/relationships" r:embed="rId3"/>
            <a:srcRect/>
            <a:stretch>
              <a:fillRect/>
            </a:stretch>
          </xdr:blipFill>
          <xdr:spPr bwMode="auto">
            <a:xfrm>
              <a:off x="7667625" y="6524625"/>
              <a:ext cx="63531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199400" name="SigiloPic">
              <a:extLst>
                <a:ext uri="{FF2B5EF4-FFF2-40B4-BE49-F238E27FC236}">
                  <a16:creationId xmlns:a16="http://schemas.microsoft.com/office/drawing/2014/main" id="{00000000-0008-0000-0300-0000E80A0300}"/>
                </a:ext>
              </a:extLst>
            </xdr:cNvPr>
            <xdr:cNvPicPr>
              <a:picLocks noChangeArrowheads="1"/>
              <a:extLst>
                <a:ext uri="{84589F7E-364E-4C9E-8A38-B11213B215E9}">
                  <a14:cameraTool cellRange="PO!$T$1:$T$2" spid="_x0000_s205843"/>
                </a:ext>
              </a:extLst>
            </xdr:cNvPicPr>
          </xdr:nvPicPr>
          <xdr:blipFill>
            <a:blip xmlns:r="http://schemas.openxmlformats.org/officeDocument/2006/relationships" r:embed="rId4"/>
            <a:srcRect/>
            <a:stretch>
              <a:fillRect/>
            </a:stretch>
          </xdr:blipFill>
          <xdr:spPr bwMode="auto">
            <a:xfrm>
              <a:off x="13563600" y="57150"/>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id="{00000000-0008-0000-0400-0000C2F3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a16="http://schemas.microsoft.com/office/drawing/2014/main" id="{00000000-0008-0000-04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0672" name="PIC2">
              <a:extLst>
                <a:ext uri="{FF2B5EF4-FFF2-40B4-BE49-F238E27FC236}">
                  <a16:creationId xmlns:a16="http://schemas.microsoft.com/office/drawing/2014/main" id="{00000000-0008-0000-0400-0000E00F0300}"/>
                </a:ext>
              </a:extLst>
            </xdr:cNvPr>
            <xdr:cNvPicPr>
              <a:picLocks noChangeArrowheads="1"/>
              <a:extLst>
                <a:ext uri="{84589F7E-364E-4C9E-8A38-B11213B215E9}">
                  <a14:cameraTool cellRange="DADOS!$A$220:$X$230" spid="_x0000_s204874"/>
                </a:ext>
              </a:extLst>
            </xdr:cNvPicPr>
          </xdr:nvPicPr>
          <xdr:blipFill>
            <a:blip xmlns:r="http://schemas.openxmlformats.org/officeDocument/2006/relationships" r:embed="rId1"/>
            <a:srcRect l="39473"/>
            <a:stretch>
              <a:fillRect/>
            </a:stretch>
          </xdr:blipFill>
          <xdr:spPr bwMode="auto">
            <a:xfrm>
              <a:off x="5619750" y="485775"/>
              <a:ext cx="8382000"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0673" name="PIC1">
              <a:extLst>
                <a:ext uri="{FF2B5EF4-FFF2-40B4-BE49-F238E27FC236}">
                  <a16:creationId xmlns:a16="http://schemas.microsoft.com/office/drawing/2014/main" id="{00000000-0008-0000-0400-0000E10F0300}"/>
                </a:ext>
              </a:extLst>
            </xdr:cNvPr>
            <xdr:cNvPicPr>
              <a:picLocks noChangeArrowheads="1"/>
              <a:extLst>
                <a:ext uri="{84589F7E-364E-4C9E-8A38-B11213B215E9}">
                  <a14:cameraTool cellRange="DADOS!$A$220:$X$230" spid="_x0000_s204875"/>
                </a:ext>
              </a:extLst>
            </xdr:cNvPicPr>
          </xdr:nvPicPr>
          <xdr:blipFill>
            <a:blip xmlns:r="http://schemas.openxmlformats.org/officeDocument/2006/relationships" r:embed="rId2"/>
            <a:srcRect r="60628"/>
            <a:stretch>
              <a:fillRect/>
            </a:stretch>
          </xdr:blipFill>
          <xdr:spPr bwMode="auto">
            <a:xfrm>
              <a:off x="152400" y="485775"/>
              <a:ext cx="5438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76</xdr:row>
          <xdr:rowOff>0</xdr:rowOff>
        </xdr:from>
        <xdr:to>
          <xdr:col>22</xdr:col>
          <xdr:colOff>28575</xdr:colOff>
          <xdr:row>80</xdr:row>
          <xdr:rowOff>142875</xdr:rowOff>
        </xdr:to>
        <xdr:pic>
          <xdr:nvPicPr>
            <xdr:cNvPr id="200674" name="Picture 483">
              <a:extLst>
                <a:ext uri="{FF2B5EF4-FFF2-40B4-BE49-F238E27FC236}">
                  <a16:creationId xmlns:a16="http://schemas.microsoft.com/office/drawing/2014/main" id="{00000000-0008-0000-0400-0000E20F0300}"/>
                </a:ext>
              </a:extLst>
            </xdr:cNvPr>
            <xdr:cNvPicPr>
              <a:picLocks noChangeArrowheads="1"/>
              <a:extLst>
                <a:ext uri="{84589F7E-364E-4C9E-8A38-B11213B215E9}">
                  <a14:cameraTool cellRange="DADOS!$A$53:$K$57" spid="_x0000_s204876"/>
                </a:ext>
              </a:extLst>
            </xdr:cNvPicPr>
          </xdr:nvPicPr>
          <xdr:blipFill>
            <a:blip xmlns:r="http://schemas.openxmlformats.org/officeDocument/2006/relationships" r:embed="rId3"/>
            <a:srcRect/>
            <a:stretch>
              <a:fillRect/>
            </a:stretch>
          </xdr:blipFill>
          <xdr:spPr bwMode="auto">
            <a:xfrm>
              <a:off x="6591300" y="4143375"/>
              <a:ext cx="63912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0675" name="SigiloPic">
              <a:extLst>
                <a:ext uri="{FF2B5EF4-FFF2-40B4-BE49-F238E27FC236}">
                  <a16:creationId xmlns:a16="http://schemas.microsoft.com/office/drawing/2014/main" id="{00000000-0008-0000-0400-0000E30F0300}"/>
                </a:ext>
              </a:extLst>
            </xdr:cNvPr>
            <xdr:cNvPicPr>
              <a:picLocks noChangeArrowheads="1"/>
              <a:extLst>
                <a:ext uri="{84589F7E-364E-4C9E-8A38-B11213B215E9}">
                  <a14:cameraTool cellRange="PO!$T$1:$T$2" spid="_x0000_s204877"/>
                </a:ext>
              </a:extLst>
            </xdr:cNvPicPr>
          </xdr:nvPicPr>
          <xdr:blipFill>
            <a:blip xmlns:r="http://schemas.openxmlformats.org/officeDocument/2006/relationships" r:embed="rId4"/>
            <a:srcRect/>
            <a:stretch>
              <a:fillRect/>
            </a:stretch>
          </xdr:blipFill>
          <xdr:spPr bwMode="auto">
            <a:xfrm>
              <a:off x="12820650" y="666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76</xdr:row>
          <xdr:rowOff>0</xdr:rowOff>
        </xdr:from>
        <xdr:to>
          <xdr:col>31</xdr:col>
          <xdr:colOff>0</xdr:colOff>
          <xdr:row>80</xdr:row>
          <xdr:rowOff>142875</xdr:rowOff>
        </xdr:to>
        <xdr:pic>
          <xdr:nvPicPr>
            <xdr:cNvPr id="200676" name="Picture 483">
              <a:extLst>
                <a:ext uri="{FF2B5EF4-FFF2-40B4-BE49-F238E27FC236}">
                  <a16:creationId xmlns:a16="http://schemas.microsoft.com/office/drawing/2014/main" id="{00000000-0008-0000-0400-0000E40F0300}"/>
                </a:ext>
              </a:extLst>
            </xdr:cNvPr>
            <xdr:cNvPicPr>
              <a:picLocks noChangeArrowheads="1"/>
              <a:extLst>
                <a:ext uri="{84589F7E-364E-4C9E-8A38-B11213B215E9}">
                  <a14:cameraTool cellRange="DADOS!$A$53:$K$57" spid="_x0000_s204878"/>
                </a:ext>
              </a:extLst>
            </xdr:cNvPicPr>
          </xdr:nvPicPr>
          <xdr:blipFill>
            <a:blip xmlns:r="http://schemas.openxmlformats.org/officeDocument/2006/relationships" r:embed="rId3"/>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0</xdr:row>
          <xdr:rowOff>66675</xdr:rowOff>
        </xdr:from>
        <xdr:to>
          <xdr:col>31</xdr:col>
          <xdr:colOff>0</xdr:colOff>
          <xdr:row>2</xdr:row>
          <xdr:rowOff>123825</xdr:rowOff>
        </xdr:to>
        <xdr:pic>
          <xdr:nvPicPr>
            <xdr:cNvPr id="200677" name="SigiloPic">
              <a:extLst>
                <a:ext uri="{FF2B5EF4-FFF2-40B4-BE49-F238E27FC236}">
                  <a16:creationId xmlns:a16="http://schemas.microsoft.com/office/drawing/2014/main" id="{00000000-0008-0000-0400-0000E50F0300}"/>
                </a:ext>
              </a:extLst>
            </xdr:cNvPr>
            <xdr:cNvPicPr>
              <a:picLocks noChangeArrowheads="1"/>
              <a:extLst>
                <a:ext uri="{84589F7E-364E-4C9E-8A38-B11213B215E9}">
                  <a14:cameraTool cellRange="PO!$T$1:$T$2" spid="_x0000_s204879"/>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76</xdr:row>
          <xdr:rowOff>0</xdr:rowOff>
        </xdr:from>
        <xdr:to>
          <xdr:col>31</xdr:col>
          <xdr:colOff>0</xdr:colOff>
          <xdr:row>80</xdr:row>
          <xdr:rowOff>142875</xdr:rowOff>
        </xdr:to>
        <xdr:pic>
          <xdr:nvPicPr>
            <xdr:cNvPr id="200678" name="Picture 483">
              <a:extLst>
                <a:ext uri="{FF2B5EF4-FFF2-40B4-BE49-F238E27FC236}">
                  <a16:creationId xmlns:a16="http://schemas.microsoft.com/office/drawing/2014/main" id="{00000000-0008-0000-0400-0000E60F0300}"/>
                </a:ext>
              </a:extLst>
            </xdr:cNvPr>
            <xdr:cNvPicPr>
              <a:picLocks noChangeArrowheads="1"/>
              <a:extLst>
                <a:ext uri="{84589F7E-364E-4C9E-8A38-B11213B215E9}">
                  <a14:cameraTool cellRange="DADOS!$A$53:$K$57" spid="_x0000_s204880"/>
                </a:ext>
              </a:extLst>
            </xdr:cNvPicPr>
          </xdr:nvPicPr>
          <xdr:blipFill>
            <a:blip xmlns:r="http://schemas.openxmlformats.org/officeDocument/2006/relationships" r:embed="rId3"/>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0</xdr:row>
          <xdr:rowOff>66675</xdr:rowOff>
        </xdr:from>
        <xdr:to>
          <xdr:col>31</xdr:col>
          <xdr:colOff>0</xdr:colOff>
          <xdr:row>2</xdr:row>
          <xdr:rowOff>123825</xdr:rowOff>
        </xdr:to>
        <xdr:pic>
          <xdr:nvPicPr>
            <xdr:cNvPr id="200679" name="SigiloPic">
              <a:extLst>
                <a:ext uri="{FF2B5EF4-FFF2-40B4-BE49-F238E27FC236}">
                  <a16:creationId xmlns:a16="http://schemas.microsoft.com/office/drawing/2014/main" id="{00000000-0008-0000-0400-0000E70F0300}"/>
                </a:ext>
              </a:extLst>
            </xdr:cNvPr>
            <xdr:cNvPicPr>
              <a:picLocks noChangeArrowheads="1"/>
              <a:extLst>
                <a:ext uri="{84589F7E-364E-4C9E-8A38-B11213B215E9}">
                  <a14:cameraTool cellRange="PO!$T$1:$T$2" spid="_x0000_s204881"/>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76</xdr:row>
          <xdr:rowOff>0</xdr:rowOff>
        </xdr:from>
        <xdr:to>
          <xdr:col>31</xdr:col>
          <xdr:colOff>0</xdr:colOff>
          <xdr:row>80</xdr:row>
          <xdr:rowOff>142875</xdr:rowOff>
        </xdr:to>
        <xdr:pic>
          <xdr:nvPicPr>
            <xdr:cNvPr id="200680" name="Picture 483">
              <a:extLst>
                <a:ext uri="{FF2B5EF4-FFF2-40B4-BE49-F238E27FC236}">
                  <a16:creationId xmlns:a16="http://schemas.microsoft.com/office/drawing/2014/main" id="{00000000-0008-0000-0400-0000E80F0300}"/>
                </a:ext>
              </a:extLst>
            </xdr:cNvPr>
            <xdr:cNvPicPr>
              <a:picLocks noChangeArrowheads="1"/>
              <a:extLst>
                <a:ext uri="{84589F7E-364E-4C9E-8A38-B11213B215E9}">
                  <a14:cameraTool cellRange="DADOS!$A$53:$K$57" spid="_x0000_s204882"/>
                </a:ext>
              </a:extLst>
            </xdr:cNvPicPr>
          </xdr:nvPicPr>
          <xdr:blipFill>
            <a:blip xmlns:r="http://schemas.openxmlformats.org/officeDocument/2006/relationships" r:embed="rId3"/>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0</xdr:row>
          <xdr:rowOff>66675</xdr:rowOff>
        </xdr:from>
        <xdr:to>
          <xdr:col>31</xdr:col>
          <xdr:colOff>0</xdr:colOff>
          <xdr:row>2</xdr:row>
          <xdr:rowOff>123825</xdr:rowOff>
        </xdr:to>
        <xdr:pic>
          <xdr:nvPicPr>
            <xdr:cNvPr id="200681" name="SigiloPic">
              <a:extLst>
                <a:ext uri="{FF2B5EF4-FFF2-40B4-BE49-F238E27FC236}">
                  <a16:creationId xmlns:a16="http://schemas.microsoft.com/office/drawing/2014/main" id="{00000000-0008-0000-0400-0000E90F0300}"/>
                </a:ext>
              </a:extLst>
            </xdr:cNvPr>
            <xdr:cNvPicPr>
              <a:picLocks noChangeArrowheads="1"/>
              <a:extLst>
                <a:ext uri="{84589F7E-364E-4C9E-8A38-B11213B215E9}">
                  <a14:cameraTool cellRange="PO!$T$1:$T$2" spid="_x0000_s204883"/>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76</xdr:row>
          <xdr:rowOff>0</xdr:rowOff>
        </xdr:from>
        <xdr:to>
          <xdr:col>31</xdr:col>
          <xdr:colOff>0</xdr:colOff>
          <xdr:row>80</xdr:row>
          <xdr:rowOff>142875</xdr:rowOff>
        </xdr:to>
        <xdr:pic>
          <xdr:nvPicPr>
            <xdr:cNvPr id="200682" name="Picture 483">
              <a:extLst>
                <a:ext uri="{FF2B5EF4-FFF2-40B4-BE49-F238E27FC236}">
                  <a16:creationId xmlns:a16="http://schemas.microsoft.com/office/drawing/2014/main" id="{00000000-0008-0000-0400-0000EA0F0300}"/>
                </a:ext>
              </a:extLst>
            </xdr:cNvPr>
            <xdr:cNvPicPr>
              <a:picLocks noChangeArrowheads="1"/>
              <a:extLst>
                <a:ext uri="{84589F7E-364E-4C9E-8A38-B11213B215E9}">
                  <a14:cameraTool cellRange="DADOS!$A$53:$K$57" spid="_x0000_s204884"/>
                </a:ext>
              </a:extLst>
            </xdr:cNvPicPr>
          </xdr:nvPicPr>
          <xdr:blipFill>
            <a:blip xmlns:r="http://schemas.openxmlformats.org/officeDocument/2006/relationships" r:embed="rId3"/>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0</xdr:row>
          <xdr:rowOff>66675</xdr:rowOff>
        </xdr:from>
        <xdr:to>
          <xdr:col>31</xdr:col>
          <xdr:colOff>0</xdr:colOff>
          <xdr:row>2</xdr:row>
          <xdr:rowOff>123825</xdr:rowOff>
        </xdr:to>
        <xdr:pic>
          <xdr:nvPicPr>
            <xdr:cNvPr id="200683" name="SigiloPic">
              <a:extLst>
                <a:ext uri="{FF2B5EF4-FFF2-40B4-BE49-F238E27FC236}">
                  <a16:creationId xmlns:a16="http://schemas.microsoft.com/office/drawing/2014/main" id="{00000000-0008-0000-0400-0000EB0F0300}"/>
                </a:ext>
              </a:extLst>
            </xdr:cNvPr>
            <xdr:cNvPicPr>
              <a:picLocks noChangeArrowheads="1"/>
              <a:extLst>
                <a:ext uri="{84589F7E-364E-4C9E-8A38-B11213B215E9}">
                  <a14:cameraTool cellRange="PO!$T$1:$T$2" spid="_x0000_s204885"/>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76</xdr:row>
          <xdr:rowOff>0</xdr:rowOff>
        </xdr:from>
        <xdr:to>
          <xdr:col>31</xdr:col>
          <xdr:colOff>0</xdr:colOff>
          <xdr:row>80</xdr:row>
          <xdr:rowOff>142875</xdr:rowOff>
        </xdr:to>
        <xdr:pic>
          <xdr:nvPicPr>
            <xdr:cNvPr id="200684" name="Picture 483">
              <a:extLst>
                <a:ext uri="{FF2B5EF4-FFF2-40B4-BE49-F238E27FC236}">
                  <a16:creationId xmlns:a16="http://schemas.microsoft.com/office/drawing/2014/main" id="{00000000-0008-0000-0400-0000EC0F0300}"/>
                </a:ext>
              </a:extLst>
            </xdr:cNvPr>
            <xdr:cNvPicPr>
              <a:picLocks noChangeArrowheads="1"/>
              <a:extLst>
                <a:ext uri="{84589F7E-364E-4C9E-8A38-B11213B215E9}">
                  <a14:cameraTool cellRange="DADOS!$A$53:$K$57" spid="_x0000_s204886"/>
                </a:ext>
              </a:extLst>
            </xdr:cNvPicPr>
          </xdr:nvPicPr>
          <xdr:blipFill>
            <a:blip xmlns:r="http://schemas.openxmlformats.org/officeDocument/2006/relationships" r:embed="rId3"/>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0</xdr:row>
          <xdr:rowOff>66675</xdr:rowOff>
        </xdr:from>
        <xdr:to>
          <xdr:col>31</xdr:col>
          <xdr:colOff>0</xdr:colOff>
          <xdr:row>2</xdr:row>
          <xdr:rowOff>123825</xdr:rowOff>
        </xdr:to>
        <xdr:pic>
          <xdr:nvPicPr>
            <xdr:cNvPr id="200685" name="SigiloPic">
              <a:extLst>
                <a:ext uri="{FF2B5EF4-FFF2-40B4-BE49-F238E27FC236}">
                  <a16:creationId xmlns:a16="http://schemas.microsoft.com/office/drawing/2014/main" id="{00000000-0008-0000-0400-0000ED0F0300}"/>
                </a:ext>
              </a:extLst>
            </xdr:cNvPr>
            <xdr:cNvPicPr>
              <a:picLocks noChangeArrowheads="1"/>
              <a:extLst>
                <a:ext uri="{84589F7E-364E-4C9E-8A38-B11213B215E9}">
                  <a14:cameraTool cellRange="PO!$T$1:$T$2" spid="_x0000_s204887"/>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23</xdr:col>
          <xdr:colOff>971550</xdr:colOff>
          <xdr:row>76</xdr:row>
          <xdr:rowOff>0</xdr:rowOff>
        </xdr:from>
        <xdr:to>
          <xdr:col>30</xdr:col>
          <xdr:colOff>28575</xdr:colOff>
          <xdr:row>81</xdr:row>
          <xdr:rowOff>0</xdr:rowOff>
        </xdr:to>
        <xdr:pic>
          <xdr:nvPicPr>
            <xdr:cNvPr id="19" name="Picture 483">
              <a:extLst>
                <a:ext uri="{FF2B5EF4-FFF2-40B4-BE49-F238E27FC236}">
                  <a16:creationId xmlns:a16="http://schemas.microsoft.com/office/drawing/2014/main" id="{00000000-0008-0000-0400-000013000000}"/>
                </a:ext>
              </a:extLst>
            </xdr:cNvPr>
            <xdr:cNvPicPr>
              <a:picLocks noChangeArrowheads="1"/>
              <a:extLst>
                <a:ext uri="{84589F7E-364E-4C9E-8A38-B11213B215E9}">
                  <a14:cameraTool cellRange="DADOS!$A$53:$K$57" spid="_x0000_s204888"/>
                </a:ext>
              </a:extLst>
            </xdr:cNvPicPr>
          </xdr:nvPicPr>
          <xdr:blipFill>
            <a:blip xmlns:r="http://schemas.openxmlformats.org/officeDocument/2006/relationships" r:embed="rId3"/>
            <a:srcRect/>
            <a:stretch>
              <a:fillRect/>
            </a:stretch>
          </xdr:blipFill>
          <xdr:spPr bwMode="auto">
            <a:xfrm>
              <a:off x="14973300" y="13916025"/>
              <a:ext cx="6391275" cy="80962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29</xdr:col>
          <xdr:colOff>914400</xdr:colOff>
          <xdr:row>0</xdr:row>
          <xdr:rowOff>66675</xdr:rowOff>
        </xdr:from>
        <xdr:to>
          <xdr:col>30</xdr:col>
          <xdr:colOff>914400</xdr:colOff>
          <xdr:row>2</xdr:row>
          <xdr:rowOff>76200</xdr:rowOff>
        </xdr:to>
        <xdr:pic>
          <xdr:nvPicPr>
            <xdr:cNvPr id="20" name="SigiloPic">
              <a:extLst>
                <a:ext uri="{FF2B5EF4-FFF2-40B4-BE49-F238E27FC236}">
                  <a16:creationId xmlns:a16="http://schemas.microsoft.com/office/drawing/2014/main" id="{00000000-0008-0000-0400-000014000000}"/>
                </a:ext>
              </a:extLst>
            </xdr:cNvPr>
            <xdr:cNvPicPr>
              <a:picLocks noChangeArrowheads="1"/>
              <a:extLst>
                <a:ext uri="{84589F7E-364E-4C9E-8A38-B11213B215E9}">
                  <a14:cameraTool cellRange="PO!$T$1:$T$2" spid="_x0000_s204889"/>
                </a:ext>
              </a:extLst>
            </xdr:cNvPicPr>
          </xdr:nvPicPr>
          <xdr:blipFill>
            <a:blip xmlns:r="http://schemas.openxmlformats.org/officeDocument/2006/relationships" r:embed="rId4"/>
            <a:srcRect/>
            <a:stretch>
              <a:fillRect/>
            </a:stretch>
          </xdr:blipFill>
          <xdr:spPr bwMode="auto">
            <a:xfrm>
              <a:off x="21202650" y="66675"/>
              <a:ext cx="1047750" cy="3333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23</xdr:col>
          <xdr:colOff>0</xdr:colOff>
          <xdr:row>3</xdr:row>
          <xdr:rowOff>0</xdr:rowOff>
        </xdr:from>
        <xdr:to>
          <xdr:col>31</xdr:col>
          <xdr:colOff>0</xdr:colOff>
          <xdr:row>6</xdr:row>
          <xdr:rowOff>219075</xdr:rowOff>
        </xdr:to>
        <xdr:pic>
          <xdr:nvPicPr>
            <xdr:cNvPr id="21" name="PIC3">
              <a:extLst>
                <a:ext uri="{FF2B5EF4-FFF2-40B4-BE49-F238E27FC236}">
                  <a16:creationId xmlns:a16="http://schemas.microsoft.com/office/drawing/2014/main" id="{00000000-0008-0000-0400-000015000000}"/>
                </a:ext>
              </a:extLst>
            </xdr:cNvPr>
            <xdr:cNvPicPr>
              <a:picLocks noChangeArrowheads="1"/>
              <a:extLst>
                <a:ext uri="{84589F7E-364E-4C9E-8A38-B11213B215E9}">
                  <a14:cameraTool cellRange="DADOS!$A$220:$X$230" spid="_x0000_s204890"/>
                </a:ext>
              </a:extLst>
            </xdr:cNvPicPr>
          </xdr:nvPicPr>
          <xdr:blipFill>
            <a:blip xmlns:r="http://schemas.openxmlformats.org/officeDocument/2006/relationships" r:embed="rId6"/>
            <a:srcRect l="39473"/>
            <a:stretch>
              <a:fillRect/>
            </a:stretch>
          </xdr:blipFill>
          <xdr:spPr bwMode="auto">
            <a:xfrm>
              <a:off x="14001750" y="485775"/>
              <a:ext cx="8382000"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3">
    <tabColor rgb="FFFFC000"/>
    <pageSetUpPr fitToPage="1"/>
  </sheetPr>
  <dimension ref="A1:Y257"/>
  <sheetViews>
    <sheetView showGridLines="0" zoomScaleNormal="100" zoomScaleSheetLayoutView="100" workbookViewId="0">
      <selection activeCell="L44" sqref="L44"/>
    </sheetView>
  </sheetViews>
  <sheetFormatPr defaultRowHeight="12.75" x14ac:dyDescent="0.2"/>
  <cols>
    <col min="1" max="2" width="8.7109375" style="8" customWidth="1"/>
    <col min="3" max="5" width="8.7109375" style="1" customWidth="1"/>
    <col min="6" max="8" width="8.7109375" style="7" customWidth="1"/>
    <col min="9" max="24" width="8.7109375" style="1" customWidth="1"/>
    <col min="25" max="16384" width="9.140625" style="1"/>
  </cols>
  <sheetData>
    <row r="1" spans="1:25" ht="12.75" customHeight="1" x14ac:dyDescent="0.2">
      <c r="A1" s="103">
        <v>27476</v>
      </c>
      <c r="B1" s="259" t="s">
        <v>2</v>
      </c>
      <c r="C1" s="259"/>
      <c r="D1" s="259"/>
      <c r="E1" s="259"/>
      <c r="F1" s="259"/>
      <c r="G1" s="259"/>
      <c r="H1" s="259"/>
      <c r="I1" s="259"/>
      <c r="J1" s="259"/>
      <c r="K1" s="259"/>
      <c r="L1" s="259"/>
      <c r="M1" s="259"/>
      <c r="N1" s="259"/>
      <c r="O1" s="259"/>
      <c r="P1" s="259"/>
      <c r="Q1" s="259"/>
      <c r="R1" s="259"/>
      <c r="S1" s="259"/>
      <c r="T1" s="259"/>
      <c r="U1" s="259"/>
      <c r="V1" s="259"/>
      <c r="W1" s="259"/>
      <c r="X1" s="260"/>
    </row>
    <row r="2" spans="1:25" ht="13.5" customHeight="1" x14ac:dyDescent="0.2">
      <c r="A2" s="105" t="s">
        <v>228</v>
      </c>
      <c r="B2" s="261"/>
      <c r="C2" s="261"/>
      <c r="D2" s="261"/>
      <c r="E2" s="261"/>
      <c r="F2" s="261"/>
      <c r="G2" s="261"/>
      <c r="H2" s="261"/>
      <c r="I2" s="261"/>
      <c r="J2" s="261"/>
      <c r="K2" s="261"/>
      <c r="L2" s="261"/>
      <c r="M2" s="261"/>
      <c r="N2" s="261"/>
      <c r="O2" s="261"/>
      <c r="P2" s="261"/>
      <c r="Q2" s="261"/>
      <c r="R2" s="261"/>
      <c r="S2" s="261"/>
      <c r="T2" s="261"/>
      <c r="U2" s="261"/>
      <c r="V2" s="261"/>
      <c r="W2" s="261"/>
      <c r="X2" s="262"/>
    </row>
    <row r="3" spans="1:25" ht="13.5" customHeight="1" x14ac:dyDescent="0.2">
      <c r="A3" s="1"/>
      <c r="B3" s="1"/>
      <c r="F3" s="1"/>
      <c r="G3" s="1"/>
      <c r="H3" s="1"/>
    </row>
    <row r="4" spans="1:25" s="21" customFormat="1" ht="12.75" customHeight="1" x14ac:dyDescent="0.2">
      <c r="A4" s="271" t="s">
        <v>168</v>
      </c>
      <c r="B4" s="271"/>
      <c r="C4" s="271"/>
      <c r="D4" s="271"/>
      <c r="E4" s="271"/>
      <c r="F4" s="271"/>
      <c r="G4" s="271"/>
      <c r="H4" s="271"/>
      <c r="I4" s="271"/>
      <c r="J4" s="271"/>
      <c r="K4" s="271"/>
      <c r="L4" s="271"/>
      <c r="M4" s="271"/>
      <c r="N4" s="271"/>
      <c r="O4" s="271"/>
      <c r="P4" s="271"/>
      <c r="Q4" s="271"/>
      <c r="R4" s="271"/>
      <c r="S4" s="271"/>
      <c r="T4" s="271"/>
      <c r="U4" s="271"/>
      <c r="V4" s="271"/>
      <c r="W4" s="271"/>
      <c r="X4" s="271"/>
    </row>
    <row r="5" spans="1:25" s="21" customFormat="1" x14ac:dyDescent="0.2">
      <c r="A5" s="22"/>
      <c r="B5" s="22"/>
      <c r="F5" s="23"/>
      <c r="G5" s="23"/>
      <c r="H5" s="23"/>
    </row>
    <row r="6" spans="1:25" s="22" customFormat="1" ht="24.95" customHeight="1" x14ac:dyDescent="0.2">
      <c r="A6" s="272" t="s">
        <v>179</v>
      </c>
      <c r="B6" s="273"/>
      <c r="C6" s="273"/>
      <c r="D6" s="273"/>
      <c r="E6" s="273"/>
      <c r="F6" s="273"/>
      <c r="G6" s="273"/>
      <c r="H6" s="273"/>
      <c r="I6" s="273"/>
      <c r="J6" s="273"/>
      <c r="K6" s="273"/>
      <c r="L6" s="273"/>
      <c r="M6" s="273"/>
      <c r="N6" s="273"/>
      <c r="O6" s="273"/>
      <c r="P6" s="273"/>
      <c r="Q6" s="273"/>
      <c r="R6" s="273"/>
      <c r="S6" s="273"/>
      <c r="T6" s="273"/>
      <c r="U6" s="273"/>
      <c r="V6" s="273"/>
      <c r="W6" s="273"/>
      <c r="X6" s="273"/>
    </row>
    <row r="7" spans="1:25" s="21" customFormat="1" ht="12.75" customHeight="1" x14ac:dyDescent="0.2">
      <c r="A7" s="22"/>
      <c r="B7" s="22"/>
      <c r="F7" s="23"/>
      <c r="G7" s="23"/>
      <c r="H7" s="23"/>
    </row>
    <row r="8" spans="1:25" s="21" customFormat="1" ht="12.75" customHeight="1" x14ac:dyDescent="0.2">
      <c r="A8" s="274" t="s">
        <v>23</v>
      </c>
      <c r="B8" s="274"/>
      <c r="C8" s="274"/>
      <c r="D8" s="274"/>
      <c r="E8" s="274"/>
      <c r="F8" s="274"/>
      <c r="G8" s="274"/>
      <c r="H8" s="274"/>
      <c r="I8" s="274"/>
      <c r="J8" s="274"/>
      <c r="K8" s="274"/>
      <c r="L8" s="274"/>
      <c r="M8" s="274"/>
      <c r="N8" s="274"/>
      <c r="O8" s="274"/>
      <c r="P8" s="274"/>
      <c r="Q8" s="274"/>
      <c r="R8" s="274"/>
      <c r="S8" s="274"/>
      <c r="T8" s="274"/>
      <c r="U8" s="274"/>
      <c r="V8" s="274"/>
      <c r="W8" s="274"/>
      <c r="X8" s="274"/>
      <c r="Y8" s="24"/>
    </row>
    <row r="9" spans="1:25" s="21" customFormat="1" ht="6" customHeight="1" x14ac:dyDescent="0.2">
      <c r="A9" s="48"/>
      <c r="B9" s="48"/>
      <c r="C9" s="48"/>
      <c r="D9" s="48"/>
      <c r="E9" s="48"/>
      <c r="F9" s="48"/>
      <c r="G9" s="48"/>
      <c r="H9" s="48"/>
      <c r="I9" s="48"/>
      <c r="J9" s="48"/>
      <c r="K9" s="48"/>
      <c r="L9" s="48"/>
      <c r="M9" s="48"/>
      <c r="N9" s="48"/>
      <c r="O9" s="48"/>
      <c r="P9" s="48"/>
      <c r="Q9" s="48"/>
      <c r="R9" s="48"/>
      <c r="S9" s="48"/>
      <c r="T9" s="48"/>
      <c r="U9" s="48"/>
      <c r="V9" s="48"/>
      <c r="W9" s="48"/>
      <c r="X9" s="48"/>
      <c r="Y9" s="24"/>
    </row>
    <row r="10" spans="1:25" s="21" customFormat="1" ht="12.75" customHeight="1" x14ac:dyDescent="0.2">
      <c r="A10" s="276" t="s">
        <v>169</v>
      </c>
      <c r="B10" s="276"/>
      <c r="C10" s="276"/>
      <c r="D10" s="276"/>
      <c r="E10" s="276"/>
      <c r="F10" s="276"/>
      <c r="G10" s="276"/>
      <c r="H10" s="276"/>
      <c r="I10" s="276"/>
      <c r="J10" s="276"/>
      <c r="K10" s="276"/>
      <c r="L10" s="276"/>
      <c r="M10" s="276"/>
      <c r="N10" s="276"/>
      <c r="O10" s="276"/>
      <c r="P10" s="276"/>
      <c r="Q10" s="276"/>
      <c r="R10" s="276"/>
      <c r="S10" s="276"/>
      <c r="T10" s="276"/>
      <c r="U10" s="276"/>
      <c r="V10" s="276"/>
      <c r="W10" s="276"/>
      <c r="X10" s="276"/>
    </row>
    <row r="11" spans="1:25" s="21" customFormat="1" ht="6" customHeight="1" x14ac:dyDescent="0.2">
      <c r="A11" s="49"/>
      <c r="B11" s="49"/>
      <c r="C11" s="49"/>
      <c r="D11" s="49"/>
      <c r="E11" s="49"/>
      <c r="F11" s="49"/>
      <c r="G11" s="49"/>
      <c r="H11" s="49"/>
      <c r="I11" s="49"/>
      <c r="J11" s="49"/>
      <c r="K11" s="49"/>
      <c r="L11" s="49"/>
      <c r="M11" s="49"/>
      <c r="N11" s="49"/>
      <c r="O11" s="49"/>
      <c r="P11" s="49"/>
      <c r="Q11" s="49"/>
      <c r="R11" s="49"/>
      <c r="S11" s="49"/>
      <c r="T11" s="49"/>
      <c r="U11" s="49"/>
      <c r="V11" s="49"/>
      <c r="W11" s="49"/>
      <c r="X11" s="49"/>
    </row>
    <row r="12" spans="1:25" s="21" customFormat="1" ht="24.95" customHeight="1" x14ac:dyDescent="0.2">
      <c r="A12" s="276" t="s">
        <v>1</v>
      </c>
      <c r="B12" s="276"/>
      <c r="C12" s="276"/>
      <c r="D12" s="276"/>
      <c r="E12" s="276"/>
      <c r="F12" s="276"/>
      <c r="G12" s="276"/>
      <c r="H12" s="276"/>
      <c r="I12" s="276"/>
      <c r="J12" s="276"/>
      <c r="K12" s="276"/>
      <c r="L12" s="276"/>
      <c r="M12" s="276"/>
      <c r="N12" s="276"/>
      <c r="O12" s="276"/>
      <c r="P12" s="276"/>
      <c r="Q12" s="276"/>
      <c r="R12" s="276"/>
      <c r="S12" s="276"/>
      <c r="T12" s="276"/>
      <c r="U12" s="276"/>
      <c r="V12" s="276"/>
      <c r="W12" s="276"/>
      <c r="X12" s="276"/>
    </row>
    <row r="13" spans="1:25" s="21" customFormat="1" x14ac:dyDescent="0.2">
      <c r="A13" s="22"/>
      <c r="B13" s="22"/>
      <c r="F13" s="23"/>
      <c r="G13" s="23"/>
      <c r="H13" s="23"/>
    </row>
    <row r="14" spans="1:25" s="21" customFormat="1" x14ac:dyDescent="0.2">
      <c r="A14" s="275" t="s">
        <v>24</v>
      </c>
      <c r="B14" s="274"/>
      <c r="C14" s="274"/>
      <c r="D14" s="274"/>
      <c r="E14" s="274"/>
      <c r="F14" s="274"/>
      <c r="G14" s="274"/>
      <c r="H14" s="274"/>
      <c r="I14" s="274"/>
      <c r="J14" s="274"/>
      <c r="K14" s="274"/>
      <c r="L14" s="274"/>
      <c r="M14" s="274"/>
      <c r="N14" s="274"/>
      <c r="O14" s="274"/>
      <c r="P14" s="274"/>
      <c r="Q14" s="274"/>
      <c r="R14" s="274"/>
      <c r="S14" s="274"/>
      <c r="T14" s="274"/>
      <c r="U14" s="274"/>
      <c r="V14" s="274"/>
      <c r="W14" s="274"/>
      <c r="X14" s="274"/>
    </row>
    <row r="15" spans="1:25" s="21" customFormat="1" x14ac:dyDescent="0.2">
      <c r="A15" s="22"/>
      <c r="B15" s="22"/>
      <c r="F15" s="23"/>
      <c r="G15" s="23"/>
      <c r="H15" s="23"/>
    </row>
    <row r="16" spans="1:25" s="21" customFormat="1" x14ac:dyDescent="0.2">
      <c r="A16" s="243" t="s">
        <v>186</v>
      </c>
      <c r="B16" s="244"/>
      <c r="C16" s="244"/>
      <c r="D16" s="244"/>
      <c r="E16" s="244"/>
      <c r="F16" s="244"/>
      <c r="G16" s="244"/>
      <c r="H16" s="244"/>
      <c r="I16" s="244"/>
      <c r="J16" s="244"/>
      <c r="K16" s="244"/>
      <c r="L16" s="244"/>
      <c r="M16" s="244"/>
      <c r="N16" s="244"/>
      <c r="O16" s="244"/>
      <c r="P16" s="244"/>
      <c r="Q16" s="244"/>
      <c r="R16" s="244"/>
      <c r="S16" s="244"/>
      <c r="T16" s="244"/>
      <c r="U16" s="244"/>
      <c r="V16" s="244"/>
      <c r="W16" s="244"/>
      <c r="X16" s="244"/>
    </row>
    <row r="17" spans="1:25" s="21" customFormat="1" ht="6" customHeight="1" x14ac:dyDescent="0.2">
      <c r="A17" s="48"/>
      <c r="B17" s="48"/>
      <c r="C17" s="48"/>
      <c r="D17" s="48"/>
      <c r="E17" s="48"/>
      <c r="F17" s="48"/>
      <c r="G17" s="48"/>
      <c r="H17" s="48"/>
      <c r="I17" s="48"/>
      <c r="J17" s="48"/>
      <c r="K17" s="48"/>
      <c r="L17" s="48"/>
      <c r="M17" s="48"/>
      <c r="N17" s="48"/>
      <c r="O17" s="48"/>
      <c r="P17" s="48"/>
      <c r="Q17" s="48"/>
      <c r="R17" s="48"/>
      <c r="S17" s="48"/>
      <c r="T17" s="48"/>
      <c r="U17" s="48"/>
      <c r="V17" s="48"/>
      <c r="W17" s="48"/>
      <c r="X17" s="48"/>
    </row>
    <row r="18" spans="1:25" s="21" customFormat="1" x14ac:dyDescent="0.2">
      <c r="A18" s="245" t="s">
        <v>187</v>
      </c>
      <c r="B18" s="245"/>
      <c r="C18" s="246"/>
      <c r="D18" s="246"/>
      <c r="E18" s="246"/>
      <c r="F18" s="246"/>
      <c r="G18" s="246"/>
      <c r="H18" s="246"/>
      <c r="I18" s="246"/>
      <c r="J18" s="246"/>
      <c r="K18" s="246"/>
      <c r="L18" s="246"/>
      <c r="M18" s="246"/>
      <c r="N18" s="246"/>
      <c r="O18" s="246"/>
      <c r="P18" s="246"/>
      <c r="Q18" s="246"/>
      <c r="R18" s="246"/>
      <c r="S18" s="246"/>
      <c r="T18" s="246"/>
      <c r="U18" s="246"/>
      <c r="V18" s="246"/>
      <c r="W18" s="246"/>
      <c r="X18" s="246"/>
    </row>
    <row r="19" spans="1:25" s="21" customFormat="1" x14ac:dyDescent="0.2">
      <c r="A19" s="22"/>
      <c r="B19" s="22"/>
      <c r="F19" s="23"/>
      <c r="G19" s="23"/>
      <c r="H19" s="23"/>
    </row>
    <row r="20" spans="1:25" s="21" customFormat="1" x14ac:dyDescent="0.2">
      <c r="A20" s="22"/>
      <c r="B20" s="22"/>
      <c r="F20" s="23"/>
      <c r="G20" s="23"/>
      <c r="H20" s="23"/>
    </row>
    <row r="21" spans="1:25" s="21" customFormat="1" x14ac:dyDescent="0.2">
      <c r="B21" s="22"/>
      <c r="F21" s="23"/>
      <c r="G21" s="23"/>
      <c r="H21" s="23"/>
    </row>
    <row r="22" spans="1:25" s="21" customFormat="1" ht="12.75" customHeight="1" x14ac:dyDescent="0.2">
      <c r="A22" s="243" t="s">
        <v>189</v>
      </c>
      <c r="B22" s="244"/>
      <c r="C22" s="244"/>
      <c r="D22" s="244"/>
      <c r="E22" s="244"/>
      <c r="F22" s="244"/>
      <c r="G22" s="244"/>
      <c r="H22" s="244"/>
      <c r="I22" s="244"/>
      <c r="J22" s="223"/>
      <c r="K22" s="223"/>
      <c r="L22" s="223"/>
      <c r="M22" s="223"/>
      <c r="N22" s="223"/>
      <c r="O22" s="223"/>
      <c r="P22" s="223"/>
      <c r="Q22" s="223"/>
      <c r="R22" s="223"/>
      <c r="S22" s="223"/>
      <c r="T22" s="223"/>
      <c r="U22" s="223"/>
      <c r="V22" s="223"/>
      <c r="W22" s="223"/>
      <c r="X22" s="223"/>
      <c r="Y22" s="223"/>
    </row>
    <row r="23" spans="1:25" s="21" customFormat="1" ht="6" customHeight="1" x14ac:dyDescent="0.2">
      <c r="A23" s="48"/>
    </row>
    <row r="24" spans="1:25" s="21" customFormat="1" ht="12.75" customHeight="1" x14ac:dyDescent="0.2">
      <c r="A24" s="245" t="s">
        <v>190</v>
      </c>
      <c r="B24" s="245"/>
      <c r="C24" s="246"/>
      <c r="D24" s="246"/>
      <c r="E24" s="246"/>
      <c r="F24" s="246"/>
      <c r="G24" s="246"/>
      <c r="H24" s="246"/>
      <c r="I24" s="246"/>
      <c r="J24" s="246"/>
      <c r="K24" s="246"/>
      <c r="L24" s="246"/>
      <c r="M24" s="246"/>
      <c r="N24" s="246"/>
      <c r="O24" s="246"/>
      <c r="P24" s="246"/>
      <c r="Q24" s="246"/>
      <c r="R24" s="246"/>
      <c r="S24" s="246"/>
      <c r="T24" s="246"/>
      <c r="U24" s="246"/>
      <c r="V24" s="246"/>
      <c r="W24" s="246"/>
      <c r="X24" s="246"/>
    </row>
    <row r="25" spans="1:25" s="21" customFormat="1" ht="6" customHeight="1" x14ac:dyDescent="0.2">
      <c r="A25" s="50"/>
      <c r="B25" s="50"/>
      <c r="C25" s="51"/>
      <c r="D25" s="51"/>
      <c r="E25" s="51"/>
      <c r="F25" s="51"/>
      <c r="G25" s="51"/>
      <c r="H25" s="51"/>
      <c r="I25" s="51"/>
      <c r="J25" s="51"/>
      <c r="K25" s="51"/>
      <c r="L25" s="51"/>
      <c r="M25" s="51"/>
      <c r="N25" s="51"/>
      <c r="O25" s="51"/>
      <c r="P25" s="51"/>
      <c r="Q25" s="51"/>
      <c r="R25" s="51"/>
      <c r="S25" s="51"/>
      <c r="T25" s="51"/>
      <c r="U25" s="51"/>
      <c r="V25" s="51"/>
      <c r="W25" s="51"/>
      <c r="X25" s="51"/>
    </row>
    <row r="26" spans="1:25" s="21" customFormat="1" ht="12.75" customHeight="1" x14ac:dyDescent="0.2">
      <c r="A26" s="241" t="s">
        <v>191</v>
      </c>
      <c r="B26" s="241"/>
      <c r="C26" s="242"/>
      <c r="D26" s="242"/>
      <c r="E26" s="242"/>
      <c r="F26" s="242"/>
      <c r="G26" s="242"/>
      <c r="H26" s="242"/>
      <c r="I26" s="242"/>
      <c r="J26" s="242"/>
      <c r="K26" s="242"/>
      <c r="L26" s="242"/>
      <c r="M26" s="242"/>
      <c r="N26" s="242"/>
      <c r="O26" s="242"/>
      <c r="P26" s="242"/>
      <c r="Q26" s="242"/>
      <c r="R26" s="242"/>
      <c r="S26" s="242"/>
      <c r="T26" s="242"/>
      <c r="U26" s="242"/>
      <c r="V26" s="242"/>
      <c r="W26" s="242"/>
      <c r="X26" s="242"/>
    </row>
    <row r="27" spans="1:25" s="21" customFormat="1" ht="6" customHeight="1" x14ac:dyDescent="0.2">
      <c r="A27" s="25"/>
      <c r="B27" s="25"/>
      <c r="F27" s="23"/>
      <c r="G27" s="23"/>
      <c r="H27" s="23"/>
    </row>
    <row r="28" spans="1:25" ht="12.75" customHeight="1" x14ac:dyDescent="0.2">
      <c r="A28" s="239" t="s">
        <v>177</v>
      </c>
      <c r="B28" s="250"/>
      <c r="C28" s="239" t="s">
        <v>170</v>
      </c>
      <c r="D28" s="240"/>
      <c r="E28" s="250"/>
      <c r="F28" s="239" t="s">
        <v>171</v>
      </c>
      <c r="G28" s="240"/>
      <c r="H28" s="240"/>
      <c r="I28" s="250"/>
      <c r="J28" s="239" t="s">
        <v>172</v>
      </c>
      <c r="K28" s="240"/>
      <c r="L28" s="240"/>
      <c r="M28" s="240"/>
      <c r="N28" s="240"/>
      <c r="O28" s="250"/>
      <c r="P28" s="239" t="s">
        <v>0</v>
      </c>
      <c r="Q28" s="240"/>
      <c r="R28" s="240"/>
      <c r="S28" s="240"/>
      <c r="T28" s="240"/>
      <c r="U28" s="240"/>
      <c r="V28" s="240"/>
      <c r="W28" s="240"/>
      <c r="X28" s="250"/>
    </row>
    <row r="29" spans="1:25" ht="12.75" customHeight="1" x14ac:dyDescent="0.2">
      <c r="A29" s="234" t="s">
        <v>237</v>
      </c>
      <c r="B29" s="251"/>
      <c r="C29" s="234" t="s">
        <v>236</v>
      </c>
      <c r="D29" s="235"/>
      <c r="E29" s="236"/>
      <c r="F29" s="234" t="s">
        <v>229</v>
      </c>
      <c r="G29" s="308"/>
      <c r="H29" s="308"/>
      <c r="I29" s="251"/>
      <c r="J29" s="234" t="s">
        <v>238</v>
      </c>
      <c r="K29" s="308"/>
      <c r="L29" s="308"/>
      <c r="M29" s="308"/>
      <c r="N29" s="308"/>
      <c r="O29" s="251"/>
      <c r="P29" s="234" t="s">
        <v>233</v>
      </c>
      <c r="Q29" s="308"/>
      <c r="R29" s="308"/>
      <c r="S29" s="308"/>
      <c r="T29" s="308"/>
      <c r="U29" s="308"/>
      <c r="V29" s="308"/>
      <c r="W29" s="308"/>
      <c r="X29" s="251"/>
    </row>
    <row r="30" spans="1:25" ht="6" customHeight="1" x14ac:dyDescent="0.2">
      <c r="A30" s="3"/>
      <c r="B30" s="3"/>
      <c r="C30" s="3"/>
      <c r="D30" s="3"/>
      <c r="E30" s="3"/>
      <c r="F30" s="3"/>
      <c r="G30" s="3"/>
      <c r="H30" s="3"/>
      <c r="I30" s="3"/>
      <c r="J30" s="3"/>
      <c r="K30" s="3"/>
      <c r="L30" s="3"/>
      <c r="M30" s="3"/>
      <c r="N30" s="3"/>
      <c r="O30" s="3"/>
      <c r="P30" s="3"/>
      <c r="Q30" s="3"/>
      <c r="R30" s="3"/>
      <c r="S30" s="3"/>
      <c r="T30" s="3"/>
      <c r="U30" s="3"/>
      <c r="V30" s="3"/>
    </row>
    <row r="31" spans="1:25" x14ac:dyDescent="0.2">
      <c r="A31" s="239" t="s">
        <v>173</v>
      </c>
      <c r="B31" s="240"/>
      <c r="C31" s="240"/>
      <c r="D31" s="240"/>
      <c r="E31" s="240"/>
      <c r="F31" s="250"/>
      <c r="G31" s="239" t="s">
        <v>174</v>
      </c>
      <c r="H31" s="240"/>
      <c r="I31" s="240"/>
      <c r="J31" s="250"/>
      <c r="K31" s="239" t="s">
        <v>175</v>
      </c>
      <c r="L31" s="240"/>
      <c r="M31" s="240"/>
      <c r="N31" s="240"/>
      <c r="O31" s="240"/>
      <c r="P31" s="250"/>
      <c r="Q31" s="239" t="s">
        <v>180</v>
      </c>
      <c r="R31" s="240"/>
      <c r="S31" s="240"/>
      <c r="T31" s="240"/>
      <c r="U31" s="240"/>
      <c r="V31" s="240"/>
      <c r="W31" s="240"/>
      <c r="X31" s="250"/>
    </row>
    <row r="32" spans="1:25" x14ac:dyDescent="0.2">
      <c r="A32" s="278" t="s">
        <v>230</v>
      </c>
      <c r="B32" s="310"/>
      <c r="C32" s="310"/>
      <c r="D32" s="310"/>
      <c r="E32" s="310"/>
      <c r="F32" s="311"/>
      <c r="G32" s="234" t="s">
        <v>232</v>
      </c>
      <c r="H32" s="235"/>
      <c r="I32" s="235"/>
      <c r="J32" s="236"/>
      <c r="K32" s="234" t="s">
        <v>234</v>
      </c>
      <c r="L32" s="308"/>
      <c r="M32" s="308"/>
      <c r="N32" s="308"/>
      <c r="O32" s="308"/>
      <c r="P32" s="251"/>
      <c r="Q32" s="309" t="s">
        <v>233</v>
      </c>
      <c r="R32" s="308"/>
      <c r="S32" s="308"/>
      <c r="T32" s="308"/>
      <c r="U32" s="308"/>
      <c r="V32" s="308"/>
      <c r="W32" s="308"/>
      <c r="X32" s="251"/>
    </row>
    <row r="33" spans="1:24" s="21" customFormat="1" ht="9" customHeight="1" x14ac:dyDescent="0.2">
      <c r="A33" s="22"/>
      <c r="B33" s="22"/>
      <c r="F33" s="23"/>
      <c r="G33" s="23"/>
      <c r="H33" s="23"/>
    </row>
    <row r="34" spans="1:24" s="27" customFormat="1" x14ac:dyDescent="0.2"/>
    <row r="35" spans="1:24" s="21" customFormat="1" ht="12.75" customHeight="1" x14ac:dyDescent="0.2">
      <c r="A35" s="241" t="s">
        <v>192</v>
      </c>
      <c r="B35" s="241"/>
      <c r="C35" s="242"/>
      <c r="D35" s="242"/>
      <c r="E35" s="242"/>
      <c r="F35" s="242"/>
      <c r="G35" s="242"/>
      <c r="H35" s="242"/>
      <c r="I35" s="242"/>
      <c r="J35" s="242"/>
      <c r="K35" s="242"/>
      <c r="L35" s="242"/>
      <c r="M35" s="242"/>
      <c r="N35" s="242"/>
      <c r="O35" s="242"/>
      <c r="P35" s="242"/>
      <c r="Q35" s="242"/>
      <c r="R35" s="242"/>
      <c r="S35" s="242"/>
      <c r="T35" s="242"/>
      <c r="U35" s="242"/>
      <c r="V35" s="242"/>
      <c r="W35" s="242"/>
      <c r="X35" s="242"/>
    </row>
    <row r="36" spans="1:24" s="21" customFormat="1" ht="6" customHeight="1" x14ac:dyDescent="0.2">
      <c r="A36" s="26"/>
      <c r="B36" s="26"/>
      <c r="C36" s="32"/>
      <c r="D36" s="32"/>
      <c r="E36" s="32"/>
      <c r="F36" s="32"/>
      <c r="G36" s="32"/>
      <c r="H36" s="32"/>
      <c r="I36" s="32"/>
      <c r="J36" s="32"/>
      <c r="K36" s="32"/>
      <c r="L36" s="32"/>
      <c r="M36" s="32"/>
      <c r="N36" s="32"/>
      <c r="O36" s="32"/>
      <c r="P36" s="32"/>
      <c r="Q36" s="32"/>
      <c r="R36" s="32"/>
      <c r="S36" s="32"/>
      <c r="T36" s="32"/>
      <c r="U36" s="32"/>
      <c r="V36" s="32"/>
      <c r="W36" s="32"/>
      <c r="X36" s="32"/>
    </row>
    <row r="37" spans="1:24" s="21" customFormat="1" ht="12.75" customHeight="1" x14ac:dyDescent="0.2">
      <c r="A37" s="239" t="s">
        <v>16</v>
      </c>
      <c r="B37" s="250"/>
      <c r="C37" s="92" t="s">
        <v>91</v>
      </c>
      <c r="D37" s="239" t="s">
        <v>14</v>
      </c>
      <c r="E37" s="240"/>
      <c r="F37" s="250"/>
      <c r="G37" s="239" t="s">
        <v>12</v>
      </c>
      <c r="H37" s="240"/>
      <c r="I37" s="240"/>
      <c r="J37" s="240"/>
      <c r="K37" s="240"/>
      <c r="L37" s="240"/>
      <c r="M37" s="240"/>
      <c r="N37" s="240"/>
      <c r="O37" s="240"/>
      <c r="P37" s="240"/>
      <c r="Q37" s="240"/>
      <c r="R37" s="240"/>
      <c r="S37" s="250"/>
      <c r="T37" s="93" t="s">
        <v>7</v>
      </c>
      <c r="U37" s="93" t="s">
        <v>8</v>
      </c>
      <c r="V37" s="93" t="s">
        <v>9</v>
      </c>
      <c r="W37" s="93" t="s">
        <v>10</v>
      </c>
      <c r="X37" s="93" t="s">
        <v>11</v>
      </c>
    </row>
    <row r="38" spans="1:24" s="21" customFormat="1" ht="12.75" customHeight="1" x14ac:dyDescent="0.2">
      <c r="A38" s="255">
        <v>44501</v>
      </c>
      <c r="B38" s="256"/>
      <c r="C38" s="91" t="s">
        <v>239</v>
      </c>
      <c r="D38" s="234"/>
      <c r="E38" s="235"/>
      <c r="F38" s="236"/>
      <c r="G38" s="234" t="s">
        <v>233</v>
      </c>
      <c r="H38" s="235"/>
      <c r="I38" s="235"/>
      <c r="J38" s="235"/>
      <c r="K38" s="235"/>
      <c r="L38" s="235"/>
      <c r="M38" s="235"/>
      <c r="N38" s="235"/>
      <c r="O38" s="235"/>
      <c r="P38" s="235"/>
      <c r="Q38" s="235"/>
      <c r="R38" s="235"/>
      <c r="S38" s="236"/>
      <c r="T38" s="95">
        <f ca="1">IF(ISERROR(INDIRECT("'BDI ("&amp;RIGHT(T37,1)&amp;")'!N27")),"",INDIRECT("'BDI ("&amp;RIGHT(T37,1)&amp;")'!N27"))</f>
        <v>0.27639999999999998</v>
      </c>
      <c r="U38" s="96" t="str">
        <f ca="1">IF(ISERROR(INDIRECT("'BDI ("&amp;RIGHT(U37,1)&amp;")'!N27")),"",INDIRECT("'BDI ("&amp;RIGHT(U37,1)&amp;")'!N27"))</f>
        <v/>
      </c>
      <c r="V38" s="96" t="str">
        <f ca="1">IF(ISERROR(INDIRECT("'BDI ("&amp;RIGHT(V37,1)&amp;")'!N27")),"",INDIRECT("'BDI ("&amp;RIGHT(V37,1)&amp;")'!N27"))</f>
        <v/>
      </c>
      <c r="W38" s="96" t="str">
        <f ca="1">IF(ISERROR(INDIRECT("'BDI ("&amp;RIGHT(W37,1)&amp;")'!N27")),"",INDIRECT("'BDI ("&amp;RIGHT(W37,1)&amp;")'!N27"))</f>
        <v/>
      </c>
      <c r="X38" s="96" t="str">
        <f ca="1">IF(ISERROR(INDIRECT("'BDI ("&amp;RIGHT(X37,1)&amp;")'!N27")),"",INDIRECT("'BDI ("&amp;RIGHT(X37,1)&amp;")'!N27"))</f>
        <v/>
      </c>
    </row>
    <row r="39" spans="1:24" s="21" customFormat="1" ht="11.25" customHeight="1" x14ac:dyDescent="0.2">
      <c r="A39" s="26"/>
      <c r="B39" s="26"/>
      <c r="C39" s="32"/>
      <c r="D39" s="32"/>
      <c r="E39" s="32"/>
      <c r="F39" s="32"/>
      <c r="G39" s="32"/>
      <c r="H39" s="32"/>
      <c r="I39" s="32"/>
      <c r="J39" s="32"/>
      <c r="K39" s="32"/>
      <c r="L39" s="32"/>
      <c r="M39" s="32"/>
      <c r="N39" s="32"/>
      <c r="O39" s="32"/>
      <c r="P39" s="32"/>
      <c r="Q39" s="32"/>
      <c r="R39" s="32"/>
      <c r="S39" s="32"/>
      <c r="T39" s="32"/>
      <c r="U39" s="32"/>
      <c r="V39" s="32"/>
      <c r="W39" s="32"/>
      <c r="X39" s="32"/>
    </row>
    <row r="40" spans="1:24" s="21" customFormat="1" ht="12.75" customHeight="1" x14ac:dyDescent="0.2">
      <c r="A40" s="241" t="s">
        <v>162</v>
      </c>
      <c r="B40" s="241"/>
      <c r="C40" s="242"/>
      <c r="D40" s="242"/>
      <c r="E40" s="242"/>
      <c r="F40" s="242"/>
      <c r="G40" s="242"/>
      <c r="H40" s="242"/>
      <c r="I40" s="242"/>
      <c r="J40" s="242"/>
      <c r="K40" s="242"/>
      <c r="L40" s="242"/>
      <c r="M40" s="242"/>
      <c r="N40" s="242"/>
      <c r="O40" s="242"/>
      <c r="P40" s="242"/>
      <c r="Q40" s="242"/>
      <c r="R40" s="242"/>
      <c r="S40" s="242"/>
      <c r="T40" s="242"/>
      <c r="U40" s="242"/>
      <c r="V40" s="242"/>
      <c r="W40" s="242"/>
      <c r="X40" s="242"/>
    </row>
    <row r="41" spans="1:24" s="21" customFormat="1" ht="6" customHeight="1" x14ac:dyDescent="0.2">
      <c r="A41" s="26"/>
      <c r="B41" s="26"/>
      <c r="C41" s="32"/>
      <c r="D41" s="32"/>
      <c r="E41" s="32"/>
      <c r="F41" s="32"/>
      <c r="G41" s="32"/>
      <c r="H41" s="32"/>
      <c r="I41" s="32"/>
      <c r="J41" s="32"/>
      <c r="K41" s="32"/>
      <c r="L41" s="32"/>
      <c r="M41" s="32"/>
      <c r="N41" s="32"/>
      <c r="O41" s="32"/>
      <c r="P41" s="32"/>
      <c r="Q41" s="32"/>
      <c r="R41" s="32"/>
      <c r="S41" s="32"/>
      <c r="T41" s="32"/>
      <c r="U41" s="32"/>
      <c r="V41" s="32"/>
      <c r="W41" s="32"/>
      <c r="X41" s="32"/>
    </row>
    <row r="42" spans="1:24" s="21" customFormat="1" ht="12.75" customHeight="1" x14ac:dyDescent="0.2">
      <c r="A42" s="239" t="s">
        <v>87</v>
      </c>
      <c r="B42" s="250"/>
      <c r="C42" s="239" t="s">
        <v>111</v>
      </c>
      <c r="D42" s="240"/>
      <c r="E42" s="240"/>
      <c r="F42" s="240"/>
      <c r="G42" s="240"/>
      <c r="H42" s="239" t="s">
        <v>16</v>
      </c>
      <c r="I42" s="240"/>
      <c r="J42" s="28" t="s">
        <v>91</v>
      </c>
      <c r="K42" s="239" t="s">
        <v>88</v>
      </c>
      <c r="L42" s="240"/>
      <c r="M42" s="250"/>
      <c r="N42" s="28" t="s">
        <v>92</v>
      </c>
      <c r="O42" s="239" t="s">
        <v>93</v>
      </c>
      <c r="P42" s="240"/>
      <c r="Q42" s="240"/>
      <c r="R42" s="240"/>
      <c r="S42" s="240"/>
      <c r="T42" s="250"/>
      <c r="U42" s="257" t="s">
        <v>89</v>
      </c>
      <c r="V42" s="258"/>
      <c r="W42" s="257" t="s">
        <v>90</v>
      </c>
      <c r="X42" s="258"/>
    </row>
    <row r="43" spans="1:24" s="21" customFormat="1" ht="12.75" customHeight="1" x14ac:dyDescent="0.2">
      <c r="A43" s="278"/>
      <c r="B43" s="279"/>
      <c r="C43" s="234"/>
      <c r="D43" s="235"/>
      <c r="E43" s="235"/>
      <c r="F43" s="235"/>
      <c r="G43" s="235"/>
      <c r="H43" s="255"/>
      <c r="I43" s="256"/>
      <c r="J43" s="88"/>
      <c r="K43" s="312"/>
      <c r="L43" s="313"/>
      <c r="M43" s="314"/>
      <c r="N43" s="104"/>
      <c r="O43" s="266"/>
      <c r="P43" s="267"/>
      <c r="Q43" s="267"/>
      <c r="R43" s="268"/>
      <c r="S43" s="268"/>
      <c r="T43" s="269"/>
      <c r="U43" s="264"/>
      <c r="V43" s="270"/>
      <c r="W43" s="264"/>
      <c r="X43" s="265"/>
    </row>
    <row r="44" spans="1:24" s="21" customFormat="1" ht="12.75" customHeight="1" x14ac:dyDescent="0.2">
      <c r="A44" s="26"/>
      <c r="B44" s="26"/>
      <c r="C44" s="32"/>
      <c r="D44" s="32"/>
      <c r="E44" s="32"/>
      <c r="F44" s="32"/>
      <c r="G44" s="32"/>
      <c r="H44" s="32"/>
      <c r="I44" s="32"/>
      <c r="J44" s="32"/>
      <c r="K44" s="32"/>
      <c r="L44" s="32"/>
      <c r="M44" s="32"/>
      <c r="N44" s="32"/>
      <c r="O44" s="32"/>
      <c r="P44" s="32"/>
      <c r="Q44" s="32"/>
      <c r="R44" s="32"/>
      <c r="S44" s="32"/>
      <c r="T44" s="32"/>
      <c r="U44" s="32"/>
      <c r="V44" s="32"/>
      <c r="W44" s="32"/>
      <c r="X44" s="32"/>
    </row>
    <row r="45" spans="1:24" s="21" customFormat="1" ht="12.75" customHeight="1" x14ac:dyDescent="0.2">
      <c r="A45" s="241" t="s">
        <v>193</v>
      </c>
      <c r="B45" s="241"/>
      <c r="C45" s="242"/>
      <c r="D45" s="242"/>
      <c r="E45" s="242"/>
      <c r="F45" s="242"/>
      <c r="G45" s="242"/>
      <c r="H45" s="242"/>
      <c r="I45" s="242"/>
      <c r="J45" s="242"/>
      <c r="K45" s="242"/>
      <c r="L45" s="242"/>
      <c r="M45" s="242"/>
      <c r="N45" s="242"/>
      <c r="O45" s="242"/>
      <c r="P45" s="242"/>
      <c r="Q45" s="242"/>
      <c r="R45" s="242"/>
      <c r="S45" s="242"/>
      <c r="T45" s="242"/>
      <c r="U45" s="242"/>
      <c r="V45" s="242"/>
      <c r="W45" s="242"/>
      <c r="X45" s="242"/>
    </row>
    <row r="46" spans="1:24" s="21" customFormat="1" ht="6" customHeight="1" x14ac:dyDescent="0.2">
      <c r="A46" s="26"/>
      <c r="B46" s="26"/>
      <c r="C46" s="32"/>
      <c r="D46" s="32"/>
      <c r="E46" s="32"/>
      <c r="F46" s="32"/>
      <c r="G46" s="32"/>
      <c r="H46" s="32"/>
      <c r="I46" s="32"/>
      <c r="J46" s="32"/>
      <c r="K46" s="32"/>
      <c r="L46" s="32"/>
      <c r="M46" s="32"/>
      <c r="N46" s="32"/>
      <c r="O46" s="32"/>
      <c r="P46" s="32"/>
      <c r="Q46" s="32"/>
      <c r="R46" s="32"/>
      <c r="S46" s="32"/>
      <c r="T46" s="32"/>
      <c r="U46" s="32"/>
      <c r="V46" s="32"/>
      <c r="W46" s="32"/>
      <c r="X46" s="32"/>
    </row>
    <row r="47" spans="1:24" s="21" customFormat="1" x14ac:dyDescent="0.2">
      <c r="A47" s="28" t="s">
        <v>15</v>
      </c>
      <c r="B47" s="29"/>
      <c r="C47" s="30"/>
    </row>
    <row r="48" spans="1:24" s="21" customFormat="1" x14ac:dyDescent="0.2">
      <c r="A48" s="292">
        <v>44682</v>
      </c>
      <c r="B48" s="293"/>
      <c r="C48" s="294"/>
      <c r="E48" s="37"/>
    </row>
    <row r="49" spans="1:24" s="21" customFormat="1" x14ac:dyDescent="0.2">
      <c r="A49" s="22"/>
      <c r="B49" s="22"/>
      <c r="F49" s="33"/>
      <c r="G49" s="34"/>
      <c r="H49" s="35"/>
    </row>
    <row r="50" spans="1:24" s="21" customFormat="1" x14ac:dyDescent="0.2">
      <c r="A50" s="241" t="s">
        <v>194</v>
      </c>
      <c r="B50" s="241"/>
      <c r="C50" s="242"/>
      <c r="D50" s="242"/>
      <c r="E50" s="242"/>
      <c r="F50" s="242"/>
      <c r="G50" s="242"/>
      <c r="H50" s="242"/>
      <c r="I50" s="242"/>
      <c r="J50" s="242"/>
      <c r="K50" s="242"/>
      <c r="L50" s="242"/>
      <c r="M50" s="242"/>
      <c r="N50" s="242"/>
      <c r="O50" s="242"/>
      <c r="P50" s="242"/>
      <c r="Q50" s="242"/>
      <c r="R50" s="242"/>
      <c r="S50" s="242"/>
      <c r="T50" s="242"/>
      <c r="U50" s="242"/>
      <c r="V50" s="242"/>
      <c r="W50" s="242"/>
      <c r="X50" s="242"/>
    </row>
    <row r="51" spans="1:24" s="21" customFormat="1" x14ac:dyDescent="0.2">
      <c r="A51" s="26"/>
      <c r="B51" s="26"/>
      <c r="C51" s="32"/>
      <c r="D51" s="32"/>
      <c r="E51" s="32"/>
      <c r="F51" s="32"/>
      <c r="G51" s="32"/>
      <c r="H51" s="32"/>
      <c r="I51" s="32"/>
      <c r="J51" s="32"/>
      <c r="K51" s="32"/>
      <c r="L51" s="32"/>
      <c r="M51"/>
      <c r="N51"/>
      <c r="O51"/>
      <c r="P51"/>
      <c r="Q51"/>
      <c r="R51"/>
      <c r="S51"/>
      <c r="T51"/>
      <c r="U51"/>
      <c r="V51"/>
      <c r="W51"/>
      <c r="X51"/>
    </row>
    <row r="52" spans="1:24" s="21" customFormat="1" x14ac:dyDescent="0.2">
      <c r="A52" s="26"/>
      <c r="B52" s="26"/>
      <c r="C52" s="32"/>
      <c r="D52" s="32"/>
      <c r="E52" s="32"/>
      <c r="F52" s="32"/>
      <c r="G52" s="8" t="s">
        <v>18</v>
      </c>
      <c r="H52" s="32"/>
      <c r="I52" s="32"/>
      <c r="K52" s="86" t="s">
        <v>235</v>
      </c>
      <c r="L52" s="32"/>
      <c r="M52"/>
      <c r="N52"/>
      <c r="O52"/>
      <c r="P52"/>
      <c r="Q52"/>
      <c r="R52"/>
      <c r="S52"/>
      <c r="T52"/>
      <c r="U52"/>
      <c r="V52"/>
      <c r="W52"/>
      <c r="X52"/>
    </row>
    <row r="53" spans="1:24" s="21" customFormat="1" x14ac:dyDescent="0.2">
      <c r="A53" s="39"/>
      <c r="B53" s="39"/>
      <c r="C53" s="40"/>
      <c r="D53" s="40"/>
      <c r="E53" s="40"/>
      <c r="F53" s="33"/>
      <c r="G53" s="39"/>
      <c r="H53" s="39"/>
      <c r="I53" s="40"/>
      <c r="J53" s="40"/>
      <c r="K53" s="40"/>
      <c r="L53" s="2"/>
      <c r="M53"/>
      <c r="N53"/>
      <c r="O53"/>
      <c r="P53"/>
      <c r="Q53"/>
      <c r="R53"/>
      <c r="S53"/>
      <c r="T53"/>
      <c r="U53"/>
      <c r="V53"/>
      <c r="W53"/>
      <c r="X53"/>
    </row>
    <row r="54" spans="1:24" s="21" customFormat="1" x14ac:dyDescent="0.2">
      <c r="A54" s="101" t="s">
        <v>140</v>
      </c>
      <c r="B54" s="295"/>
      <c r="C54" s="296"/>
      <c r="D54" s="296"/>
      <c r="E54" s="296"/>
      <c r="F54" s="33"/>
      <c r="G54" s="101" t="s">
        <v>140</v>
      </c>
      <c r="H54" s="296"/>
      <c r="I54" s="296"/>
      <c r="J54" s="296"/>
      <c r="K54" s="296"/>
      <c r="L54" s="2"/>
      <c r="M54"/>
      <c r="N54"/>
      <c r="O54"/>
      <c r="P54"/>
      <c r="Q54"/>
      <c r="R54"/>
      <c r="S54"/>
      <c r="T54"/>
      <c r="U54"/>
      <c r="V54"/>
      <c r="W54"/>
      <c r="X54"/>
    </row>
    <row r="55" spans="1:24" s="21" customFormat="1" x14ac:dyDescent="0.2">
      <c r="A55" s="101" t="str">
        <f>IF(OR(TipoOrçamento="BASE",TipoOrçamento="REPROGRAMADONPL"),"Título:","Cargo:")</f>
        <v>Cargo:</v>
      </c>
      <c r="B55" s="295"/>
      <c r="C55" s="296"/>
      <c r="D55" s="296"/>
      <c r="E55" s="296"/>
      <c r="F55" s="33"/>
      <c r="G55" s="101" t="str">
        <f>A55</f>
        <v>Cargo:</v>
      </c>
      <c r="H55" s="296"/>
      <c r="I55" s="296"/>
      <c r="J55" s="296"/>
      <c r="K55" s="296"/>
      <c r="L55" s="2"/>
      <c r="M55"/>
      <c r="N55"/>
      <c r="O55"/>
      <c r="P55"/>
      <c r="Q55"/>
      <c r="R55"/>
      <c r="S55"/>
      <c r="T55"/>
      <c r="U55"/>
      <c r="V55"/>
      <c r="W55"/>
      <c r="X55"/>
    </row>
    <row r="56" spans="1:24" s="21" customFormat="1" x14ac:dyDescent="0.2">
      <c r="A56" s="101" t="str">
        <f>IF(OR(TipoOrçamento="BASE",TipoOrçamento="REPROGRAMADONPL"),"CREA/CAU:","Empresa:")</f>
        <v>Empresa:</v>
      </c>
      <c r="B56" s="277"/>
      <c r="C56" s="263"/>
      <c r="D56" s="263"/>
      <c r="E56" s="263"/>
      <c r="F56" s="33"/>
      <c r="G56" s="101" t="str">
        <f>A56</f>
        <v>Empresa:</v>
      </c>
      <c r="H56" s="263"/>
      <c r="I56" s="263"/>
      <c r="J56" s="263"/>
      <c r="K56" s="263"/>
      <c r="L56" s="2"/>
      <c r="M56"/>
      <c r="N56"/>
      <c r="O56"/>
      <c r="P56"/>
      <c r="Q56"/>
      <c r="R56"/>
      <c r="S56"/>
      <c r="T56"/>
      <c r="U56"/>
      <c r="V56"/>
      <c r="W56"/>
      <c r="X56"/>
    </row>
    <row r="57" spans="1:24" s="21" customFormat="1" x14ac:dyDescent="0.2">
      <c r="A57" s="101" t="str">
        <f>IF(OR(TipoOrçamento="BASE",TipoOrçamento="REPROGRAMADONPL"),"ART/RRT:","CNPJ:")</f>
        <v>CNPJ:</v>
      </c>
      <c r="B57" s="277"/>
      <c r="C57" s="263"/>
      <c r="D57" s="263"/>
      <c r="E57" s="263"/>
      <c r="F57" s="33"/>
      <c r="G57" s="101" t="str">
        <f>A57</f>
        <v>CNPJ:</v>
      </c>
      <c r="H57" s="263"/>
      <c r="I57" s="263"/>
      <c r="J57" s="263"/>
      <c r="K57" s="263"/>
      <c r="L57" s="2"/>
      <c r="M57"/>
      <c r="N57"/>
      <c r="O57"/>
      <c r="P57"/>
      <c r="Q57"/>
      <c r="R57"/>
      <c r="S57"/>
      <c r="T57"/>
      <c r="U57"/>
      <c r="V57"/>
      <c r="W57"/>
      <c r="X57"/>
    </row>
    <row r="58" spans="1:24" s="21" customFormat="1" x14ac:dyDescent="0.2">
      <c r="A58" s="22"/>
      <c r="B58" s="22"/>
      <c r="F58" s="33"/>
      <c r="G58" s="34"/>
      <c r="H58" s="35"/>
      <c r="M58"/>
      <c r="N58"/>
      <c r="O58"/>
      <c r="P58"/>
      <c r="Q58"/>
      <c r="R58"/>
      <c r="S58"/>
      <c r="T58"/>
      <c r="U58"/>
      <c r="V58"/>
      <c r="W58"/>
      <c r="X58"/>
    </row>
    <row r="59" spans="1:24" s="21" customFormat="1" x14ac:dyDescent="0.2">
      <c r="A59" s="22"/>
      <c r="B59" s="22"/>
      <c r="F59" s="33"/>
      <c r="G59" s="34"/>
      <c r="H59" s="35"/>
      <c r="M59"/>
      <c r="N59"/>
      <c r="O59"/>
      <c r="P59"/>
      <c r="Q59"/>
      <c r="R59"/>
      <c r="S59"/>
      <c r="T59"/>
      <c r="U59"/>
      <c r="V59"/>
      <c r="W59"/>
      <c r="X59"/>
    </row>
    <row r="60" spans="1:24" s="21" customFormat="1" ht="12.75" customHeight="1" x14ac:dyDescent="0.2">
      <c r="A60" s="245" t="s">
        <v>195</v>
      </c>
      <c r="B60" s="245"/>
      <c r="C60" s="246"/>
      <c r="D60" s="246"/>
      <c r="E60" s="246"/>
      <c r="F60" s="246"/>
      <c r="G60" s="246"/>
      <c r="H60" s="246"/>
      <c r="I60" s="246"/>
      <c r="J60" s="246"/>
      <c r="K60" s="246"/>
      <c r="L60" s="246"/>
      <c r="M60" s="246"/>
      <c r="N60" s="246"/>
      <c r="O60" s="246"/>
      <c r="P60" s="246"/>
      <c r="Q60" s="246"/>
      <c r="R60" s="246"/>
      <c r="S60" s="246"/>
      <c r="T60" s="246"/>
      <c r="U60" s="246"/>
      <c r="V60" s="246"/>
      <c r="W60" s="246"/>
      <c r="X60" s="246"/>
    </row>
    <row r="61" spans="1:24" s="21" customFormat="1" x14ac:dyDescent="0.2">
      <c r="A61" s="50"/>
      <c r="B61" s="50"/>
      <c r="C61" s="51"/>
      <c r="D61" s="51"/>
      <c r="E61" s="51"/>
      <c r="F61" s="51"/>
      <c r="G61" s="51"/>
      <c r="H61" s="51"/>
      <c r="I61" s="51"/>
      <c r="J61" s="51"/>
      <c r="K61" s="51"/>
      <c r="L61" s="51"/>
      <c r="M61" s="51"/>
      <c r="N61" s="51"/>
      <c r="O61" s="51"/>
      <c r="P61" s="51"/>
      <c r="Q61" s="51"/>
      <c r="R61" s="51"/>
      <c r="S61" s="51"/>
      <c r="T61" s="51"/>
      <c r="U61" s="51"/>
      <c r="V61" s="51"/>
      <c r="W61" s="51"/>
      <c r="X61" s="51"/>
    </row>
    <row r="62" spans="1:24" s="161" customFormat="1" ht="12.75" customHeight="1" x14ac:dyDescent="0.2">
      <c r="A62" s="252" t="s">
        <v>196</v>
      </c>
      <c r="B62" s="253"/>
      <c r="C62" s="254"/>
      <c r="D62" s="254"/>
      <c r="E62" s="254"/>
      <c r="F62" s="254"/>
      <c r="G62" s="254"/>
      <c r="H62" s="254"/>
      <c r="I62" s="254"/>
      <c r="J62" s="254"/>
      <c r="K62" s="254"/>
      <c r="L62" s="254"/>
      <c r="M62" s="254"/>
      <c r="N62" s="254"/>
      <c r="O62" s="254"/>
      <c r="P62" s="254"/>
      <c r="Q62" s="254"/>
      <c r="R62" s="254"/>
      <c r="S62" s="254"/>
      <c r="T62" s="254"/>
      <c r="U62" s="254"/>
      <c r="V62" s="254"/>
      <c r="W62" s="254"/>
      <c r="X62" s="254"/>
    </row>
    <row r="63" spans="1:24" s="21" customFormat="1" ht="30" customHeight="1" x14ac:dyDescent="0.2">
      <c r="A63" s="252" t="s">
        <v>197</v>
      </c>
      <c r="B63" s="252"/>
      <c r="C63" s="297"/>
      <c r="D63" s="297"/>
      <c r="E63" s="297"/>
      <c r="F63" s="297"/>
      <c r="G63" s="297"/>
      <c r="H63" s="297"/>
      <c r="I63" s="297"/>
      <c r="J63" s="297"/>
      <c r="K63" s="297"/>
      <c r="L63" s="297"/>
      <c r="M63" s="297"/>
      <c r="N63" s="297"/>
      <c r="O63" s="297"/>
      <c r="P63" s="297"/>
      <c r="Q63" s="297"/>
      <c r="R63" s="297"/>
      <c r="S63" s="297"/>
      <c r="T63" s="297"/>
      <c r="U63" s="297"/>
      <c r="V63" s="297"/>
      <c r="W63" s="297"/>
      <c r="X63" s="297"/>
    </row>
    <row r="64" spans="1:24" s="21" customFormat="1" x14ac:dyDescent="0.2">
      <c r="A64" s="22"/>
      <c r="B64" s="22"/>
      <c r="F64" s="33"/>
      <c r="G64" s="34"/>
      <c r="H64" s="35"/>
      <c r="M64"/>
      <c r="N64"/>
      <c r="O64"/>
      <c r="P64"/>
      <c r="Q64"/>
      <c r="R64"/>
      <c r="S64"/>
      <c r="T64"/>
      <c r="U64"/>
      <c r="V64"/>
      <c r="W64"/>
      <c r="X64"/>
    </row>
    <row r="65" spans="1:24" s="21" customFormat="1" ht="12.75" customHeight="1" x14ac:dyDescent="0.2">
      <c r="A65" s="245" t="s">
        <v>198</v>
      </c>
      <c r="B65" s="245"/>
      <c r="C65" s="246"/>
      <c r="D65" s="246"/>
      <c r="E65" s="246"/>
      <c r="F65" s="246"/>
      <c r="G65" s="246"/>
      <c r="H65" s="246"/>
      <c r="I65" s="246"/>
      <c r="J65" s="246"/>
      <c r="K65" s="246"/>
      <c r="L65" s="246"/>
      <c r="M65" s="246"/>
      <c r="N65" s="246"/>
      <c r="O65" s="246"/>
      <c r="P65" s="246"/>
      <c r="Q65" s="246"/>
      <c r="R65" s="246"/>
      <c r="S65" s="246"/>
      <c r="T65" s="246"/>
      <c r="U65" s="246"/>
      <c r="V65" s="246"/>
      <c r="W65" s="246"/>
      <c r="X65" s="246"/>
    </row>
    <row r="66" spans="1:24" s="21" customFormat="1" x14ac:dyDescent="0.2">
      <c r="A66" s="50"/>
      <c r="B66" s="50"/>
      <c r="C66" s="51"/>
      <c r="D66" s="51"/>
      <c r="E66" s="51"/>
      <c r="F66" s="51"/>
      <c r="G66" s="51"/>
      <c r="H66" s="51"/>
      <c r="I66" s="51"/>
      <c r="J66" s="51"/>
      <c r="K66" s="51"/>
      <c r="L66" s="51"/>
      <c r="M66" s="51"/>
      <c r="N66" s="51"/>
      <c r="O66" s="51"/>
      <c r="P66" s="51"/>
      <c r="Q66" s="51"/>
      <c r="R66" s="51"/>
      <c r="S66" s="51"/>
      <c r="T66" s="51"/>
      <c r="U66" s="51"/>
      <c r="V66" s="51"/>
      <c r="W66" s="51"/>
      <c r="X66" s="51"/>
    </row>
    <row r="67" spans="1:24" s="21" customFormat="1" ht="12.75" customHeight="1" x14ac:dyDescent="0.2">
      <c r="A67" s="241" t="s">
        <v>199</v>
      </c>
      <c r="B67" s="241"/>
      <c r="C67" s="242"/>
      <c r="D67" s="242"/>
      <c r="E67" s="242"/>
      <c r="F67" s="242"/>
      <c r="G67" s="242"/>
      <c r="H67" s="242"/>
      <c r="I67" s="242"/>
      <c r="J67" s="242"/>
      <c r="K67" s="242"/>
      <c r="L67" s="242"/>
      <c r="M67" s="242"/>
      <c r="N67" s="242"/>
      <c r="O67" s="242"/>
      <c r="P67" s="242"/>
      <c r="Q67" s="242"/>
      <c r="R67" s="242"/>
      <c r="S67" s="242"/>
      <c r="T67" s="242"/>
      <c r="U67" s="242"/>
      <c r="V67" s="242"/>
      <c r="W67" s="242"/>
      <c r="X67" s="242"/>
    </row>
    <row r="68" spans="1:24" s="21" customFormat="1" x14ac:dyDescent="0.2">
      <c r="A68" s="241" t="s">
        <v>200</v>
      </c>
      <c r="B68" s="241"/>
      <c r="C68" s="242"/>
      <c r="D68" s="242"/>
      <c r="E68" s="242"/>
      <c r="F68" s="242"/>
      <c r="G68" s="242"/>
      <c r="H68" s="242"/>
      <c r="I68" s="242"/>
      <c r="J68" s="242"/>
      <c r="K68" s="242"/>
      <c r="L68" s="242"/>
      <c r="M68" s="242"/>
      <c r="N68" s="242"/>
      <c r="O68" s="242"/>
      <c r="P68" s="242"/>
      <c r="Q68" s="242"/>
      <c r="R68" s="242"/>
      <c r="S68" s="242"/>
      <c r="T68" s="242"/>
      <c r="U68" s="242"/>
      <c r="V68" s="242"/>
      <c r="W68" s="242"/>
      <c r="X68" s="242"/>
    </row>
    <row r="69" spans="1:24" s="21" customFormat="1" ht="12.75" customHeight="1" x14ac:dyDescent="0.2">
      <c r="A69" s="241" t="s">
        <v>201</v>
      </c>
      <c r="B69" s="241"/>
      <c r="C69" s="242"/>
      <c r="D69" s="242"/>
      <c r="E69" s="242"/>
      <c r="F69" s="242"/>
      <c r="G69" s="242"/>
      <c r="H69" s="242"/>
      <c r="I69" s="242"/>
      <c r="J69" s="242"/>
      <c r="K69" s="242"/>
      <c r="L69" s="242"/>
      <c r="M69" s="242"/>
      <c r="N69" s="242"/>
      <c r="O69" s="242"/>
      <c r="P69" s="242"/>
      <c r="Q69" s="242"/>
      <c r="R69" s="242"/>
      <c r="S69" s="242"/>
      <c r="T69" s="242"/>
      <c r="U69" s="242"/>
      <c r="V69" s="242"/>
      <c r="W69" s="242"/>
      <c r="X69" s="242"/>
    </row>
    <row r="70" spans="1:24" s="21" customFormat="1" ht="12.75" customHeight="1" x14ac:dyDescent="0.2">
      <c r="A70" s="241" t="s">
        <v>202</v>
      </c>
      <c r="B70" s="241"/>
      <c r="C70" s="242"/>
      <c r="D70" s="242"/>
      <c r="E70" s="242"/>
      <c r="F70" s="242"/>
      <c r="G70" s="242"/>
      <c r="H70" s="242"/>
      <c r="I70" s="242"/>
      <c r="J70" s="242"/>
      <c r="K70" s="242"/>
      <c r="L70" s="242"/>
      <c r="M70" s="242"/>
      <c r="N70" s="242"/>
      <c r="O70" s="242"/>
      <c r="P70" s="242"/>
      <c r="Q70" s="242"/>
      <c r="R70" s="242"/>
      <c r="S70" s="242"/>
      <c r="T70" s="242"/>
      <c r="U70" s="242"/>
      <c r="V70" s="242"/>
      <c r="W70" s="242"/>
      <c r="X70" s="242"/>
    </row>
    <row r="71" spans="1:24" s="21" customFormat="1" ht="12.75" customHeight="1" x14ac:dyDescent="0.2">
      <c r="A71" s="241" t="s">
        <v>203</v>
      </c>
      <c r="B71" s="241"/>
      <c r="C71" s="242"/>
      <c r="D71" s="242"/>
      <c r="E71" s="242"/>
      <c r="F71" s="242"/>
      <c r="G71" s="242"/>
      <c r="H71" s="242"/>
      <c r="I71" s="242"/>
      <c r="J71" s="242"/>
      <c r="K71" s="242"/>
      <c r="L71" s="242"/>
      <c r="M71" s="242"/>
      <c r="N71" s="242"/>
      <c r="O71" s="242"/>
      <c r="P71" s="242"/>
      <c r="Q71" s="242"/>
      <c r="R71" s="242"/>
      <c r="S71" s="242"/>
      <c r="T71" s="242"/>
      <c r="U71" s="242"/>
      <c r="V71" s="242"/>
      <c r="W71" s="242"/>
      <c r="X71" s="242"/>
    </row>
    <row r="72" spans="1:24" s="21" customFormat="1" ht="12.75" customHeight="1" x14ac:dyDescent="0.2">
      <c r="A72" s="241" t="s">
        <v>204</v>
      </c>
      <c r="B72" s="241"/>
      <c r="C72" s="242"/>
      <c r="D72" s="242"/>
      <c r="E72" s="242"/>
      <c r="F72" s="242"/>
      <c r="G72" s="242"/>
      <c r="H72" s="242"/>
      <c r="I72" s="242"/>
      <c r="J72" s="242"/>
      <c r="K72" s="242"/>
      <c r="L72" s="242"/>
      <c r="M72" s="242"/>
      <c r="N72" s="242"/>
      <c r="O72" s="242"/>
      <c r="P72" s="242"/>
      <c r="Q72" s="242"/>
      <c r="R72" s="242"/>
      <c r="S72" s="242"/>
      <c r="T72" s="242"/>
      <c r="U72" s="242"/>
      <c r="V72" s="242"/>
      <c r="W72" s="242"/>
      <c r="X72" s="242"/>
    </row>
    <row r="73" spans="1:24" s="21" customFormat="1" x14ac:dyDescent="0.2">
      <c r="A73" s="22"/>
      <c r="B73" s="22"/>
      <c r="F73" s="33"/>
      <c r="G73" s="34"/>
      <c r="H73" s="35"/>
    </row>
    <row r="74" spans="1:24" s="21" customFormat="1" ht="12.75" customHeight="1" x14ac:dyDescent="0.2">
      <c r="A74" s="245" t="s">
        <v>205</v>
      </c>
      <c r="B74" s="245"/>
      <c r="C74" s="246"/>
      <c r="D74" s="246"/>
      <c r="E74" s="246"/>
      <c r="F74" s="246"/>
      <c r="G74" s="246"/>
      <c r="H74" s="246"/>
      <c r="I74" s="246"/>
      <c r="J74" s="246"/>
      <c r="K74" s="246"/>
      <c r="L74" s="246"/>
      <c r="M74" s="246"/>
      <c r="N74" s="246"/>
      <c r="O74" s="246"/>
      <c r="P74" s="246"/>
      <c r="Q74" s="246"/>
      <c r="R74" s="246"/>
      <c r="S74" s="246"/>
      <c r="T74" s="246"/>
      <c r="U74" s="246"/>
      <c r="V74" s="246"/>
      <c r="W74" s="246"/>
      <c r="X74" s="246"/>
    </row>
    <row r="75" spans="1:24" s="21" customFormat="1" x14ac:dyDescent="0.2">
      <c r="A75" s="50"/>
      <c r="B75" s="50"/>
      <c r="C75" s="51"/>
      <c r="D75" s="51"/>
      <c r="E75" s="51"/>
      <c r="F75" s="51"/>
      <c r="G75" s="51"/>
      <c r="H75" s="51"/>
      <c r="I75" s="51"/>
      <c r="J75" s="51"/>
      <c r="K75" s="51"/>
      <c r="L75" s="51"/>
      <c r="M75" s="51"/>
      <c r="N75" s="51"/>
      <c r="O75" s="51"/>
      <c r="P75" s="51"/>
      <c r="Q75" s="51"/>
      <c r="R75" s="51"/>
      <c r="S75" s="51"/>
      <c r="T75" s="51"/>
      <c r="U75" s="51"/>
      <c r="V75" s="51"/>
      <c r="W75" s="51"/>
      <c r="X75" s="51"/>
    </row>
    <row r="76" spans="1:24" s="21" customFormat="1" ht="12.75" customHeight="1" x14ac:dyDescent="0.2">
      <c r="A76" s="241" t="s">
        <v>206</v>
      </c>
      <c r="B76" s="241"/>
      <c r="C76" s="242"/>
      <c r="D76" s="242"/>
      <c r="E76" s="242"/>
      <c r="F76" s="242"/>
      <c r="G76" s="242"/>
      <c r="H76" s="242"/>
      <c r="I76" s="242"/>
      <c r="J76" s="242"/>
      <c r="K76" s="242"/>
      <c r="L76" s="242"/>
      <c r="M76" s="242"/>
      <c r="N76" s="242"/>
      <c r="O76" s="242"/>
      <c r="P76" s="242"/>
      <c r="Q76" s="242"/>
      <c r="R76" s="242"/>
      <c r="S76" s="242"/>
      <c r="T76" s="242"/>
      <c r="U76" s="242"/>
      <c r="V76" s="242"/>
      <c r="W76" s="242"/>
      <c r="X76" s="242"/>
    </row>
    <row r="77" spans="1:24" s="21" customFormat="1" ht="26.1" customHeight="1" x14ac:dyDescent="0.2">
      <c r="A77" s="237" t="s">
        <v>207</v>
      </c>
      <c r="B77" s="237"/>
      <c r="C77" s="238"/>
      <c r="D77" s="238"/>
      <c r="E77" s="238"/>
      <c r="F77" s="238"/>
      <c r="G77" s="238"/>
      <c r="H77" s="238"/>
      <c r="I77" s="238"/>
      <c r="J77" s="238"/>
      <c r="K77" s="238"/>
      <c r="L77" s="238"/>
      <c r="M77" s="238"/>
      <c r="N77" s="238"/>
      <c r="O77" s="238"/>
      <c r="P77" s="238"/>
      <c r="Q77" s="238"/>
      <c r="R77" s="238"/>
      <c r="S77" s="238"/>
      <c r="T77" s="238"/>
      <c r="U77" s="238"/>
      <c r="V77" s="238"/>
      <c r="W77" s="238"/>
      <c r="X77" s="238"/>
    </row>
    <row r="78" spans="1:24" s="21" customFormat="1" ht="12.75" customHeight="1" x14ac:dyDescent="0.2">
      <c r="A78" s="241" t="s">
        <v>208</v>
      </c>
      <c r="B78" s="241"/>
      <c r="C78" s="242"/>
      <c r="D78" s="242"/>
      <c r="E78" s="242"/>
      <c r="F78" s="242"/>
      <c r="G78" s="242"/>
      <c r="H78" s="242"/>
      <c r="I78" s="242"/>
      <c r="J78" s="242"/>
      <c r="K78" s="242"/>
      <c r="L78" s="242"/>
      <c r="M78" s="242"/>
      <c r="N78" s="242"/>
      <c r="O78" s="242"/>
      <c r="P78" s="242"/>
      <c r="Q78" s="242"/>
      <c r="R78" s="242"/>
      <c r="S78" s="242"/>
      <c r="T78" s="242"/>
      <c r="U78" s="242"/>
      <c r="V78" s="242"/>
      <c r="W78" s="242"/>
      <c r="X78" s="242"/>
    </row>
    <row r="79" spans="1:24" s="21" customFormat="1" ht="25.5" customHeight="1" x14ac:dyDescent="0.2">
      <c r="A79" s="241" t="s">
        <v>209</v>
      </c>
      <c r="B79" s="241"/>
      <c r="C79" s="242"/>
      <c r="D79" s="242"/>
      <c r="E79" s="242"/>
      <c r="F79" s="242"/>
      <c r="G79" s="242"/>
      <c r="H79" s="242"/>
      <c r="I79" s="242"/>
      <c r="J79" s="242"/>
      <c r="K79" s="242"/>
      <c r="L79" s="242"/>
      <c r="M79" s="242"/>
      <c r="N79" s="242"/>
      <c r="O79" s="242"/>
      <c r="P79" s="242"/>
      <c r="Q79" s="242"/>
      <c r="R79" s="242"/>
      <c r="S79" s="242"/>
      <c r="T79" s="242"/>
      <c r="U79" s="242"/>
      <c r="V79" s="242"/>
      <c r="W79" s="242"/>
      <c r="X79" s="242"/>
    </row>
    <row r="80" spans="1:24" s="21" customFormat="1" x14ac:dyDescent="0.2">
      <c r="A80" s="237" t="s">
        <v>210</v>
      </c>
      <c r="B80" s="237"/>
      <c r="C80" s="238"/>
      <c r="D80" s="238"/>
      <c r="E80" s="238"/>
      <c r="F80" s="238"/>
      <c r="G80" s="238"/>
      <c r="H80" s="238"/>
      <c r="I80" s="238"/>
      <c r="J80" s="238"/>
      <c r="K80" s="238"/>
      <c r="L80" s="238"/>
      <c r="M80" s="238"/>
      <c r="N80" s="238"/>
      <c r="O80" s="238"/>
      <c r="P80" s="238"/>
      <c r="Q80" s="238"/>
      <c r="R80" s="238"/>
      <c r="S80" s="238"/>
      <c r="T80" s="238"/>
      <c r="U80" s="238"/>
      <c r="V80" s="238"/>
      <c r="W80" s="238"/>
      <c r="X80" s="238"/>
    </row>
    <row r="81" spans="1:24" ht="12.75" customHeight="1" x14ac:dyDescent="0.2">
      <c r="A81" s="241" t="s">
        <v>211</v>
      </c>
      <c r="B81" s="241"/>
      <c r="C81" s="242"/>
      <c r="D81" s="242"/>
      <c r="E81" s="242"/>
      <c r="F81" s="242"/>
      <c r="G81" s="242"/>
      <c r="H81" s="242"/>
      <c r="I81" s="242"/>
      <c r="J81" s="242"/>
      <c r="K81" s="242"/>
      <c r="L81" s="242"/>
      <c r="M81" s="242"/>
      <c r="N81" s="242"/>
      <c r="O81" s="242"/>
      <c r="P81" s="242"/>
      <c r="Q81" s="242"/>
      <c r="R81" s="242"/>
      <c r="S81" s="242"/>
      <c r="T81" s="242"/>
      <c r="U81" s="242"/>
      <c r="V81" s="242"/>
      <c r="W81" s="242"/>
      <c r="X81" s="242"/>
    </row>
    <row r="82" spans="1:24" ht="26.1" customHeight="1" x14ac:dyDescent="0.2">
      <c r="A82" s="241" t="s">
        <v>212</v>
      </c>
      <c r="B82" s="241"/>
      <c r="C82" s="242"/>
      <c r="D82" s="242"/>
      <c r="E82" s="242"/>
      <c r="F82" s="242"/>
      <c r="G82" s="242"/>
      <c r="H82" s="242"/>
      <c r="I82" s="242"/>
      <c r="J82" s="242"/>
      <c r="K82" s="242"/>
      <c r="L82" s="242"/>
      <c r="M82" s="242"/>
      <c r="N82" s="242"/>
      <c r="O82" s="242"/>
      <c r="P82" s="242"/>
      <c r="Q82" s="242"/>
      <c r="R82" s="242"/>
      <c r="S82" s="242"/>
      <c r="T82" s="242"/>
      <c r="U82" s="242"/>
      <c r="V82" s="242"/>
      <c r="W82" s="242"/>
      <c r="X82" s="242"/>
    </row>
    <row r="83" spans="1:24" s="21" customFormat="1" ht="26.1" customHeight="1" x14ac:dyDescent="0.2">
      <c r="A83" s="241" t="s">
        <v>213</v>
      </c>
      <c r="B83" s="241"/>
      <c r="C83" s="242"/>
      <c r="D83" s="242"/>
      <c r="E83" s="242"/>
      <c r="F83" s="242"/>
      <c r="G83" s="242"/>
      <c r="H83" s="242"/>
      <c r="I83" s="242"/>
      <c r="J83" s="242"/>
      <c r="K83" s="242"/>
      <c r="L83" s="242"/>
      <c r="M83" s="242"/>
      <c r="N83" s="242"/>
      <c r="O83" s="242"/>
      <c r="P83" s="242"/>
      <c r="Q83" s="242"/>
      <c r="R83" s="242"/>
      <c r="S83" s="242"/>
      <c r="T83" s="242"/>
      <c r="U83" s="242"/>
      <c r="V83" s="242"/>
      <c r="W83" s="242"/>
      <c r="X83" s="242"/>
    </row>
    <row r="84" spans="1:24" s="21" customFormat="1" ht="12.75" customHeight="1" x14ac:dyDescent="0.2">
      <c r="A84" s="241" t="s">
        <v>214</v>
      </c>
      <c r="B84" s="241"/>
      <c r="C84" s="242"/>
      <c r="D84" s="242"/>
      <c r="E84" s="242"/>
      <c r="F84" s="242"/>
      <c r="G84" s="242"/>
      <c r="H84" s="242"/>
      <c r="I84" s="242"/>
      <c r="J84" s="242"/>
      <c r="K84" s="242"/>
      <c r="L84" s="242"/>
      <c r="M84" s="242"/>
      <c r="N84" s="242"/>
      <c r="O84" s="242"/>
      <c r="P84" s="242"/>
      <c r="Q84" s="242"/>
      <c r="R84" s="242"/>
      <c r="S84" s="242"/>
      <c r="T84" s="242"/>
      <c r="U84" s="242"/>
      <c r="V84" s="242"/>
      <c r="W84" s="242"/>
      <c r="X84" s="242"/>
    </row>
    <row r="85" spans="1:24" s="21" customFormat="1" x14ac:dyDescent="0.2">
      <c r="A85" s="241" t="s">
        <v>215</v>
      </c>
      <c r="B85" s="241"/>
      <c r="C85" s="242"/>
      <c r="D85" s="242"/>
      <c r="E85" s="242"/>
      <c r="F85" s="242"/>
      <c r="G85" s="242"/>
      <c r="H85" s="242"/>
      <c r="I85" s="242"/>
      <c r="J85" s="242"/>
      <c r="K85" s="242"/>
      <c r="L85" s="242"/>
      <c r="M85" s="242"/>
      <c r="N85" s="242"/>
      <c r="O85" s="242"/>
      <c r="P85" s="242"/>
      <c r="Q85" s="242"/>
      <c r="R85" s="242"/>
      <c r="S85" s="242"/>
      <c r="T85" s="242"/>
      <c r="U85" s="242"/>
      <c r="V85" s="242"/>
      <c r="W85" s="242"/>
      <c r="X85" s="242"/>
    </row>
    <row r="86" spans="1:24" ht="12.75" customHeight="1" x14ac:dyDescent="0.2">
      <c r="A86" s="237" t="s">
        <v>216</v>
      </c>
      <c r="B86" s="237"/>
      <c r="C86" s="238"/>
      <c r="D86" s="238"/>
      <c r="E86" s="238"/>
      <c r="F86" s="238"/>
      <c r="G86" s="238"/>
      <c r="H86" s="238"/>
      <c r="I86" s="238"/>
      <c r="J86" s="238"/>
      <c r="K86" s="238"/>
      <c r="L86" s="238"/>
      <c r="M86" s="238"/>
      <c r="N86" s="238"/>
      <c r="O86" s="238"/>
      <c r="P86" s="238"/>
      <c r="Q86" s="238"/>
      <c r="R86" s="238"/>
      <c r="S86" s="238"/>
      <c r="T86" s="238"/>
      <c r="U86" s="238"/>
      <c r="V86" s="238"/>
      <c r="W86" s="238"/>
      <c r="X86" s="238"/>
    </row>
    <row r="87" spans="1:24" x14ac:dyDescent="0.2">
      <c r="A87" s="241" t="s">
        <v>217</v>
      </c>
      <c r="B87" s="241"/>
      <c r="C87" s="242"/>
      <c r="D87" s="242"/>
      <c r="E87" s="242"/>
      <c r="F87" s="242"/>
      <c r="G87" s="242"/>
      <c r="H87" s="242"/>
      <c r="I87" s="242"/>
      <c r="J87" s="242"/>
      <c r="K87" s="242"/>
      <c r="L87" s="242"/>
      <c r="M87" s="242"/>
      <c r="N87" s="242"/>
      <c r="O87" s="242"/>
      <c r="P87" s="242"/>
      <c r="Q87" s="242"/>
      <c r="R87" s="242"/>
      <c r="S87" s="242"/>
      <c r="T87" s="242"/>
      <c r="U87" s="242"/>
      <c r="V87" s="242"/>
      <c r="W87" s="242"/>
      <c r="X87" s="242"/>
    </row>
    <row r="88" spans="1:24" x14ac:dyDescent="0.2">
      <c r="A88" s="241" t="s">
        <v>218</v>
      </c>
      <c r="B88" s="241"/>
      <c r="C88" s="242"/>
      <c r="D88" s="242"/>
      <c r="E88" s="242"/>
      <c r="F88" s="242"/>
      <c r="G88" s="242"/>
      <c r="H88" s="242"/>
      <c r="I88" s="242"/>
      <c r="J88" s="242"/>
      <c r="K88" s="242"/>
      <c r="L88" s="242"/>
      <c r="M88" s="242"/>
      <c r="N88" s="242"/>
      <c r="O88" s="242"/>
      <c r="P88" s="242"/>
      <c r="Q88" s="242"/>
      <c r="R88" s="242"/>
      <c r="S88" s="242"/>
      <c r="T88" s="242"/>
      <c r="U88" s="242"/>
      <c r="V88" s="242"/>
      <c r="W88" s="242"/>
      <c r="X88" s="242"/>
    </row>
    <row r="90" spans="1:24" x14ac:dyDescent="0.2">
      <c r="A90" s="245" t="s">
        <v>219</v>
      </c>
      <c r="B90" s="245"/>
      <c r="C90" s="246"/>
      <c r="D90" s="246"/>
      <c r="E90" s="246"/>
      <c r="F90" s="246"/>
      <c r="G90" s="246"/>
      <c r="H90" s="246"/>
      <c r="I90" s="246"/>
      <c r="J90" s="246"/>
      <c r="K90" s="246"/>
      <c r="L90" s="246"/>
      <c r="M90" s="246"/>
      <c r="N90" s="246"/>
      <c r="O90" s="246"/>
      <c r="P90" s="246"/>
      <c r="Q90" s="246"/>
      <c r="R90" s="246"/>
      <c r="S90" s="246"/>
      <c r="T90" s="246"/>
      <c r="U90" s="246"/>
      <c r="V90" s="246"/>
      <c r="W90" s="246"/>
      <c r="X90" s="246"/>
    </row>
    <row r="91" spans="1:24" x14ac:dyDescent="0.2">
      <c r="A91" s="50"/>
      <c r="B91" s="50"/>
      <c r="C91" s="51"/>
      <c r="D91" s="51"/>
      <c r="E91" s="51"/>
      <c r="F91" s="51"/>
      <c r="G91" s="51"/>
      <c r="H91" s="51"/>
      <c r="I91" s="51"/>
      <c r="J91" s="51"/>
      <c r="K91" s="51"/>
      <c r="L91" s="51"/>
      <c r="M91" s="51"/>
      <c r="N91" s="51"/>
      <c r="O91" s="51"/>
      <c r="P91" s="51"/>
      <c r="Q91" s="51"/>
      <c r="R91" s="51"/>
      <c r="S91" s="51"/>
      <c r="T91" s="51"/>
      <c r="U91" s="51"/>
      <c r="V91" s="51"/>
      <c r="W91" s="51"/>
      <c r="X91" s="51"/>
    </row>
    <row r="92" spans="1:24" x14ac:dyDescent="0.2">
      <c r="A92" s="241" t="s">
        <v>220</v>
      </c>
      <c r="B92" s="241"/>
      <c r="C92" s="242"/>
      <c r="D92" s="242"/>
      <c r="E92" s="242"/>
      <c r="F92" s="242"/>
      <c r="G92" s="242"/>
      <c r="H92" s="242"/>
      <c r="I92" s="242"/>
      <c r="J92" s="242"/>
      <c r="K92" s="242"/>
      <c r="L92" s="242"/>
      <c r="M92" s="242"/>
      <c r="N92" s="242"/>
      <c r="O92" s="242"/>
      <c r="P92" s="242"/>
      <c r="Q92" s="242"/>
      <c r="R92" s="242"/>
      <c r="S92" s="242"/>
      <c r="T92" s="242"/>
      <c r="U92" s="242"/>
      <c r="V92" s="242"/>
      <c r="W92" s="242"/>
      <c r="X92" s="242"/>
    </row>
    <row r="93" spans="1:24" ht="12.75" customHeight="1" x14ac:dyDescent="0.2">
      <c r="A93" s="237" t="s">
        <v>221</v>
      </c>
      <c r="B93" s="237"/>
      <c r="C93" s="238"/>
      <c r="D93" s="238"/>
      <c r="E93" s="238"/>
      <c r="F93" s="238"/>
      <c r="G93" s="238"/>
      <c r="H93" s="238"/>
      <c r="I93" s="238"/>
      <c r="J93" s="238"/>
      <c r="K93" s="238"/>
      <c r="L93" s="238"/>
      <c r="M93" s="238"/>
      <c r="N93" s="238"/>
      <c r="O93" s="238"/>
      <c r="P93" s="238"/>
      <c r="Q93" s="238"/>
      <c r="R93" s="238"/>
      <c r="S93" s="238"/>
      <c r="T93" s="238"/>
      <c r="U93" s="238"/>
      <c r="V93" s="238"/>
      <c r="W93" s="238"/>
      <c r="X93" s="238"/>
    </row>
    <row r="94" spans="1:24" ht="12.75" customHeight="1" x14ac:dyDescent="0.2">
      <c r="A94" s="241" t="s">
        <v>222</v>
      </c>
      <c r="B94" s="241"/>
      <c r="C94" s="242"/>
      <c r="D94" s="242"/>
      <c r="E94" s="242"/>
      <c r="F94" s="242"/>
      <c r="G94" s="242"/>
      <c r="H94" s="242"/>
      <c r="I94" s="242"/>
      <c r="J94" s="242"/>
      <c r="K94" s="242"/>
      <c r="L94" s="242"/>
      <c r="M94" s="242"/>
      <c r="N94" s="242"/>
      <c r="O94" s="242"/>
      <c r="P94" s="242"/>
      <c r="Q94" s="242"/>
      <c r="R94" s="242"/>
      <c r="S94" s="242"/>
      <c r="T94" s="242"/>
      <c r="U94" s="242"/>
      <c r="V94" s="242"/>
      <c r="W94" s="242"/>
      <c r="X94" s="242"/>
    </row>
    <row r="95" spans="1:24" x14ac:dyDescent="0.2">
      <c r="A95" s="241" t="s">
        <v>223</v>
      </c>
      <c r="B95" s="241"/>
      <c r="C95" s="242"/>
      <c r="D95" s="242"/>
      <c r="E95" s="242"/>
      <c r="F95" s="242"/>
      <c r="G95" s="242"/>
      <c r="H95" s="242"/>
      <c r="I95" s="242"/>
      <c r="J95" s="242"/>
      <c r="K95" s="242"/>
      <c r="L95" s="242"/>
      <c r="M95" s="242"/>
      <c r="N95" s="242"/>
      <c r="O95" s="242"/>
      <c r="P95" s="242"/>
      <c r="Q95" s="242"/>
      <c r="R95" s="242"/>
      <c r="S95" s="242"/>
      <c r="T95" s="242"/>
      <c r="U95" s="242"/>
      <c r="V95" s="242"/>
      <c r="W95" s="242"/>
      <c r="X95" s="242"/>
    </row>
    <row r="96" spans="1:24" ht="12.75" customHeight="1" x14ac:dyDescent="0.2">
      <c r="A96" s="237"/>
      <c r="B96" s="237"/>
      <c r="C96" s="238"/>
      <c r="D96" s="238"/>
      <c r="E96" s="238"/>
      <c r="F96" s="238"/>
      <c r="G96" s="238"/>
      <c r="H96" s="238"/>
      <c r="I96" s="238"/>
      <c r="J96" s="238"/>
      <c r="K96" s="238"/>
      <c r="L96" s="238"/>
      <c r="M96" s="238"/>
      <c r="N96" s="238"/>
      <c r="O96" s="238"/>
      <c r="P96" s="238"/>
      <c r="Q96" s="238"/>
      <c r="R96" s="238"/>
      <c r="S96" s="238"/>
      <c r="T96" s="238"/>
      <c r="U96" s="238"/>
      <c r="V96" s="238"/>
      <c r="W96" s="238"/>
      <c r="X96" s="238"/>
    </row>
    <row r="97" spans="1:24" x14ac:dyDescent="0.2">
      <c r="A97" s="245" t="s">
        <v>224</v>
      </c>
      <c r="B97" s="245"/>
      <c r="C97" s="246"/>
      <c r="D97" s="246"/>
      <c r="E97" s="246"/>
      <c r="F97" s="246"/>
      <c r="G97" s="246"/>
      <c r="H97" s="246"/>
      <c r="I97" s="246"/>
      <c r="J97" s="246"/>
      <c r="K97" s="246"/>
      <c r="L97" s="246"/>
      <c r="M97" s="246"/>
      <c r="N97" s="246"/>
      <c r="O97" s="246"/>
      <c r="P97" s="246"/>
      <c r="Q97" s="246"/>
      <c r="R97" s="246"/>
      <c r="S97" s="246"/>
      <c r="T97" s="246"/>
      <c r="U97" s="246"/>
      <c r="V97" s="246"/>
      <c r="W97" s="246"/>
      <c r="X97" s="246"/>
    </row>
    <row r="98" spans="1:24" ht="12.75" customHeight="1" x14ac:dyDescent="0.2">
      <c r="A98" s="237"/>
      <c r="B98" s="237"/>
      <c r="C98" s="238"/>
      <c r="D98" s="238"/>
      <c r="E98" s="238"/>
      <c r="F98" s="238"/>
      <c r="G98" s="238"/>
      <c r="H98" s="238"/>
      <c r="I98" s="238"/>
      <c r="J98" s="238"/>
      <c r="K98" s="238"/>
      <c r="L98" s="238"/>
      <c r="M98" s="238"/>
      <c r="N98" s="238"/>
      <c r="O98" s="238"/>
      <c r="P98" s="238"/>
      <c r="Q98" s="238"/>
      <c r="R98" s="238"/>
      <c r="S98" s="238"/>
      <c r="T98" s="238"/>
      <c r="U98" s="238"/>
      <c r="V98" s="238"/>
      <c r="W98" s="238"/>
      <c r="X98" s="238"/>
    </row>
    <row r="99" spans="1:24" ht="12.75" customHeight="1" x14ac:dyDescent="0.2">
      <c r="A99" s="241" t="s">
        <v>225</v>
      </c>
      <c r="B99" s="241"/>
      <c r="C99" s="242"/>
      <c r="D99" s="242"/>
      <c r="E99" s="242"/>
      <c r="F99" s="242"/>
      <c r="G99" s="242"/>
      <c r="H99" s="242"/>
      <c r="I99" s="242"/>
      <c r="J99" s="242"/>
      <c r="K99" s="242"/>
      <c r="L99" s="242"/>
      <c r="M99" s="242"/>
      <c r="N99" s="242"/>
      <c r="O99" s="242"/>
      <c r="P99" s="242"/>
      <c r="Q99" s="242"/>
      <c r="R99" s="242"/>
      <c r="S99" s="242"/>
      <c r="T99" s="242"/>
      <c r="U99" s="242"/>
      <c r="V99" s="242"/>
      <c r="W99" s="242"/>
      <c r="X99" s="242"/>
    </row>
    <row r="100" spans="1:24" ht="12.75" customHeight="1" x14ac:dyDescent="0.2">
      <c r="A100" s="241" t="s">
        <v>226</v>
      </c>
      <c r="B100" s="241"/>
      <c r="C100" s="242"/>
      <c r="D100" s="242"/>
      <c r="E100" s="242"/>
      <c r="F100" s="242"/>
      <c r="G100" s="242"/>
      <c r="H100" s="242"/>
      <c r="I100" s="242"/>
      <c r="J100" s="242"/>
      <c r="K100" s="242"/>
      <c r="L100" s="242"/>
      <c r="M100" s="242"/>
      <c r="N100" s="242"/>
      <c r="O100" s="242"/>
      <c r="P100" s="242"/>
      <c r="Q100" s="242"/>
      <c r="R100" s="242"/>
      <c r="S100" s="242"/>
      <c r="T100" s="242"/>
      <c r="U100" s="242"/>
      <c r="V100" s="242"/>
      <c r="W100" s="242"/>
      <c r="X100" s="242"/>
    </row>
    <row r="101" spans="1:24" x14ac:dyDescent="0.2">
      <c r="A101" s="241" t="s">
        <v>227</v>
      </c>
      <c r="B101" s="241"/>
      <c r="C101" s="242"/>
      <c r="D101" s="242"/>
      <c r="E101" s="242"/>
      <c r="F101" s="242"/>
      <c r="G101" s="242"/>
      <c r="H101" s="242"/>
      <c r="I101" s="242"/>
      <c r="J101" s="242"/>
      <c r="K101" s="242"/>
      <c r="L101" s="242"/>
      <c r="M101" s="242"/>
      <c r="N101" s="242"/>
      <c r="O101" s="242"/>
      <c r="P101" s="242"/>
      <c r="Q101" s="242"/>
      <c r="R101" s="242"/>
      <c r="S101" s="242"/>
      <c r="T101" s="242"/>
      <c r="U101" s="242"/>
      <c r="V101" s="242"/>
      <c r="W101" s="242"/>
      <c r="X101" s="242"/>
    </row>
    <row r="102" spans="1:24" ht="12.75" customHeight="1" x14ac:dyDescent="0.2">
      <c r="A102" s="26"/>
      <c r="B102" s="26"/>
      <c r="C102" s="32"/>
      <c r="D102" s="32"/>
      <c r="E102" s="32"/>
      <c r="F102" s="32"/>
      <c r="G102" s="32"/>
      <c r="H102" s="32"/>
      <c r="I102" s="32"/>
      <c r="J102" s="32"/>
      <c r="K102" s="32"/>
      <c r="L102" s="32"/>
      <c r="M102" s="32"/>
      <c r="N102" s="32"/>
      <c r="O102" s="32"/>
      <c r="P102" s="32"/>
      <c r="Q102" s="32"/>
      <c r="R102" s="32"/>
      <c r="S102" s="32"/>
      <c r="T102" s="32"/>
      <c r="U102" s="32"/>
      <c r="V102" s="32"/>
      <c r="W102" s="32"/>
      <c r="X102" s="32"/>
    </row>
    <row r="103" spans="1:24" ht="12.75" customHeight="1" x14ac:dyDescent="0.2">
      <c r="A103" s="26"/>
      <c r="B103" s="26"/>
      <c r="C103" s="32"/>
      <c r="D103" s="32"/>
      <c r="E103" s="32"/>
      <c r="F103" s="32"/>
      <c r="G103" s="32"/>
      <c r="H103" s="32"/>
      <c r="I103" s="32"/>
      <c r="J103" s="32"/>
      <c r="K103" s="32"/>
      <c r="L103" s="32"/>
      <c r="M103" s="32"/>
      <c r="N103" s="32"/>
      <c r="O103" s="32"/>
      <c r="P103" s="32"/>
      <c r="Q103" s="32"/>
      <c r="R103" s="32"/>
      <c r="S103" s="32"/>
      <c r="T103" s="32"/>
      <c r="U103" s="32"/>
      <c r="V103" s="32"/>
      <c r="W103" s="32"/>
      <c r="X103" s="32"/>
    </row>
    <row r="104" spans="1:24" ht="12.75" customHeight="1" x14ac:dyDescent="0.2">
      <c r="A104" s="26"/>
      <c r="B104" s="26"/>
      <c r="C104" s="32"/>
      <c r="D104" s="32"/>
      <c r="E104" s="32"/>
      <c r="F104" s="32"/>
      <c r="G104" s="32"/>
      <c r="H104" s="32"/>
      <c r="I104" s="32"/>
      <c r="J104" s="32"/>
      <c r="K104" s="32"/>
      <c r="L104" s="32"/>
      <c r="M104" s="32"/>
      <c r="N104" s="32"/>
      <c r="O104" s="32"/>
      <c r="P104" s="32"/>
      <c r="Q104" s="32"/>
      <c r="R104" s="32"/>
      <c r="S104" s="32"/>
      <c r="T104" s="32"/>
      <c r="U104" s="32"/>
      <c r="V104" s="32"/>
      <c r="W104" s="32"/>
      <c r="X104" s="32"/>
    </row>
    <row r="105" spans="1:24" ht="12.75" customHeight="1" x14ac:dyDescent="0.2">
      <c r="A105" s="26"/>
      <c r="B105" s="26"/>
      <c r="C105" s="32"/>
      <c r="D105" s="32"/>
      <c r="E105" s="32"/>
      <c r="F105" s="32"/>
      <c r="G105" s="32"/>
      <c r="H105" s="32"/>
      <c r="I105" s="32"/>
      <c r="J105" s="32"/>
      <c r="K105" s="32"/>
      <c r="L105" s="32"/>
      <c r="M105" s="32"/>
      <c r="N105" s="32"/>
      <c r="O105" s="32"/>
      <c r="P105" s="32"/>
      <c r="Q105" s="32"/>
      <c r="R105" s="32"/>
      <c r="S105" s="32"/>
      <c r="T105" s="32"/>
      <c r="U105" s="32"/>
      <c r="V105" s="32"/>
      <c r="W105" s="32"/>
      <c r="X105" s="32"/>
    </row>
    <row r="106" spans="1:24" ht="12.75" customHeight="1" x14ac:dyDescent="0.2"/>
    <row r="107" spans="1:24" x14ac:dyDescent="0.2">
      <c r="A107"/>
      <c r="E107"/>
      <c r="F107"/>
      <c r="H107" s="38"/>
      <c r="L107" s="82" t="s">
        <v>131</v>
      </c>
      <c r="O107" s="82"/>
      <c r="P107" s="38"/>
      <c r="Q107" s="82"/>
    </row>
    <row r="108" spans="1:24" ht="12.75" customHeight="1" x14ac:dyDescent="0.2">
      <c r="A108"/>
      <c r="E108"/>
      <c r="F108"/>
      <c r="G108" s="31"/>
      <c r="H108" s="31"/>
      <c r="L108" s="82" t="s">
        <v>132</v>
      </c>
      <c r="P108" s="31"/>
      <c r="S108" s="208">
        <f ca="1">T38</f>
        <v>0.27639999999999998</v>
      </c>
    </row>
    <row r="109" spans="1:24" x14ac:dyDescent="0.2">
      <c r="A109"/>
      <c r="E109"/>
      <c r="F109"/>
      <c r="G109" s="31"/>
      <c r="H109" s="31"/>
      <c r="L109" s="82" t="s">
        <v>133</v>
      </c>
      <c r="P109" s="31"/>
      <c r="S109" s="208" t="str">
        <f ca="1">U38</f>
        <v/>
      </c>
    </row>
    <row r="110" spans="1:24" ht="12.75" customHeight="1" x14ac:dyDescent="0.2">
      <c r="A110"/>
      <c r="E110"/>
      <c r="F110"/>
      <c r="G110" s="31"/>
      <c r="H110" s="31"/>
      <c r="L110" s="82" t="s">
        <v>134</v>
      </c>
      <c r="P110" s="31"/>
      <c r="S110" s="208" t="str">
        <f ca="1">V38</f>
        <v/>
      </c>
    </row>
    <row r="111" spans="1:24" x14ac:dyDescent="0.2">
      <c r="A111"/>
      <c r="E111"/>
      <c r="F111"/>
      <c r="G111" s="31"/>
      <c r="H111" s="31"/>
      <c r="L111" s="82" t="s">
        <v>135</v>
      </c>
      <c r="P111" s="31"/>
      <c r="S111" s="208" t="str">
        <f ca="1">W38</f>
        <v/>
      </c>
    </row>
    <row r="112" spans="1:24" ht="12.75" customHeight="1" x14ac:dyDescent="0.2">
      <c r="A112"/>
      <c r="E112"/>
      <c r="F112"/>
      <c r="G112" s="31"/>
      <c r="H112" s="31"/>
      <c r="L112" s="82" t="s">
        <v>136</v>
      </c>
      <c r="P112" s="31"/>
      <c r="S112" s="208" t="str">
        <f ca="1">X38</f>
        <v/>
      </c>
    </row>
    <row r="113" spans="1:16" x14ac:dyDescent="0.2">
      <c r="A113"/>
      <c r="H113" s="38"/>
      <c r="L113" s="82" t="s">
        <v>66</v>
      </c>
    </row>
    <row r="114" spans="1:16" ht="12.75" customHeight="1" x14ac:dyDescent="0.2">
      <c r="A114"/>
      <c r="H114" s="38"/>
      <c r="L114" s="82" t="s">
        <v>67</v>
      </c>
    </row>
    <row r="115" spans="1:16" x14ac:dyDescent="0.2">
      <c r="A115"/>
      <c r="H115" s="38"/>
      <c r="L115" s="82" t="s">
        <v>68</v>
      </c>
      <c r="P115" s="1" t="s">
        <v>112</v>
      </c>
    </row>
    <row r="116" spans="1:16" x14ac:dyDescent="0.2">
      <c r="A116"/>
      <c r="H116" s="38"/>
      <c r="L116" s="82" t="s">
        <v>69</v>
      </c>
      <c r="P116" s="1" t="s">
        <v>113</v>
      </c>
    </row>
    <row r="117" spans="1:16" x14ac:dyDescent="0.2">
      <c r="A117"/>
      <c r="L117" s="82" t="s">
        <v>70</v>
      </c>
      <c r="P117" s="1" t="s">
        <v>114</v>
      </c>
    </row>
    <row r="118" spans="1:16" x14ac:dyDescent="0.2">
      <c r="A118"/>
      <c r="L118" s="82" t="s">
        <v>71</v>
      </c>
      <c r="P118" s="1" t="s">
        <v>94</v>
      </c>
    </row>
    <row r="119" spans="1:16" x14ac:dyDescent="0.2">
      <c r="A119"/>
      <c r="L119" s="82" t="s">
        <v>72</v>
      </c>
      <c r="P119" s="1" t="s">
        <v>95</v>
      </c>
    </row>
    <row r="120" spans="1:16" x14ac:dyDescent="0.2">
      <c r="A120"/>
      <c r="L120" s="82" t="s">
        <v>73</v>
      </c>
      <c r="P120" s="1" t="s">
        <v>96</v>
      </c>
    </row>
    <row r="121" spans="1:16" x14ac:dyDescent="0.2">
      <c r="A121"/>
      <c r="L121" s="82" t="s">
        <v>74</v>
      </c>
    </row>
    <row r="122" spans="1:16" x14ac:dyDescent="0.2">
      <c r="A122"/>
      <c r="L122" s="82" t="s">
        <v>75</v>
      </c>
      <c r="P122" s="94" t="s">
        <v>97</v>
      </c>
    </row>
    <row r="123" spans="1:16" x14ac:dyDescent="0.2">
      <c r="A123"/>
      <c r="L123" s="82" t="s">
        <v>76</v>
      </c>
      <c r="P123" s="94" t="s">
        <v>98</v>
      </c>
    </row>
    <row r="124" spans="1:16" x14ac:dyDescent="0.2">
      <c r="A124"/>
      <c r="L124" s="82" t="s">
        <v>77</v>
      </c>
    </row>
    <row r="125" spans="1:16" x14ac:dyDescent="0.2">
      <c r="A125"/>
      <c r="L125" s="82" t="s">
        <v>78</v>
      </c>
    </row>
    <row r="126" spans="1:16" x14ac:dyDescent="0.2">
      <c r="A126"/>
      <c r="L126" s="82" t="s">
        <v>79</v>
      </c>
    </row>
    <row r="127" spans="1:16" x14ac:dyDescent="0.2">
      <c r="A127"/>
      <c r="L127" s="82" t="s">
        <v>80</v>
      </c>
    </row>
    <row r="128" spans="1:16" x14ac:dyDescent="0.2">
      <c r="A128"/>
      <c r="L128" s="82" t="s">
        <v>81</v>
      </c>
    </row>
    <row r="129" spans="1:12" x14ac:dyDescent="0.2">
      <c r="A129"/>
      <c r="L129" s="82" t="s">
        <v>82</v>
      </c>
    </row>
    <row r="130" spans="1:12" x14ac:dyDescent="0.2">
      <c r="A130"/>
      <c r="L130" s="82" t="s">
        <v>83</v>
      </c>
    </row>
    <row r="131" spans="1:12" x14ac:dyDescent="0.2">
      <c r="A131"/>
      <c r="L131" s="82" t="s">
        <v>84</v>
      </c>
    </row>
    <row r="132" spans="1:12" x14ac:dyDescent="0.2">
      <c r="A132"/>
      <c r="L132" s="82" t="s">
        <v>65</v>
      </c>
    </row>
    <row r="133" spans="1:12" x14ac:dyDescent="0.2">
      <c r="A133"/>
      <c r="L133" s="82" t="s">
        <v>85</v>
      </c>
    </row>
    <row r="134" spans="1:12" x14ac:dyDescent="0.2">
      <c r="A134"/>
      <c r="L134" s="82" t="s">
        <v>86</v>
      </c>
    </row>
    <row r="135" spans="1:12" x14ac:dyDescent="0.2">
      <c r="A135"/>
    </row>
    <row r="136" spans="1:12" x14ac:dyDescent="0.2">
      <c r="A136"/>
    </row>
    <row r="137" spans="1:12" x14ac:dyDescent="0.2">
      <c r="A137"/>
    </row>
    <row r="138" spans="1:12" x14ac:dyDescent="0.2">
      <c r="A138"/>
    </row>
    <row r="139" spans="1:12" x14ac:dyDescent="0.2">
      <c r="A139"/>
    </row>
    <row r="140" spans="1:12" x14ac:dyDescent="0.2">
      <c r="A140"/>
    </row>
    <row r="141" spans="1:12" x14ac:dyDescent="0.2">
      <c r="A141"/>
    </row>
    <row r="142" spans="1:12" x14ac:dyDescent="0.2">
      <c r="A142"/>
    </row>
    <row r="143" spans="1:12" x14ac:dyDescent="0.2">
      <c r="A143"/>
    </row>
    <row r="144" spans="1:12" x14ac:dyDescent="0.2">
      <c r="A144"/>
    </row>
    <row r="145" spans="1:1" x14ac:dyDescent="0.2">
      <c r="A145"/>
    </row>
    <row r="146" spans="1:1" x14ac:dyDescent="0.2">
      <c r="A146"/>
    </row>
    <row r="147" spans="1:1" x14ac:dyDescent="0.2">
      <c r="A147"/>
    </row>
    <row r="148" spans="1:1" x14ac:dyDescent="0.2">
      <c r="A148"/>
    </row>
    <row r="149" spans="1:1" x14ac:dyDescent="0.2">
      <c r="A149"/>
    </row>
    <row r="150" spans="1:1" x14ac:dyDescent="0.2">
      <c r="A150"/>
    </row>
    <row r="151" spans="1:1" x14ac:dyDescent="0.2">
      <c r="A151"/>
    </row>
    <row r="152" spans="1:1" x14ac:dyDescent="0.2">
      <c r="A152"/>
    </row>
    <row r="153" spans="1:1" x14ac:dyDescent="0.2">
      <c r="A153"/>
    </row>
    <row r="154" spans="1:1" x14ac:dyDescent="0.2">
      <c r="A154"/>
    </row>
    <row r="155" spans="1:1" x14ac:dyDescent="0.2">
      <c r="A155"/>
    </row>
    <row r="156" spans="1:1" x14ac:dyDescent="0.2">
      <c r="A156"/>
    </row>
    <row r="157" spans="1:1" x14ac:dyDescent="0.2">
      <c r="A157"/>
    </row>
    <row r="158" spans="1:1" x14ac:dyDescent="0.2">
      <c r="A158"/>
    </row>
    <row r="159" spans="1:1" x14ac:dyDescent="0.2">
      <c r="A159"/>
    </row>
    <row r="160" spans="1:1" x14ac:dyDescent="0.2">
      <c r="A160"/>
    </row>
    <row r="161" spans="1:1" x14ac:dyDescent="0.2">
      <c r="A161"/>
    </row>
    <row r="162" spans="1:1" x14ac:dyDescent="0.2">
      <c r="A162"/>
    </row>
    <row r="163" spans="1:1" x14ac:dyDescent="0.2">
      <c r="A163"/>
    </row>
    <row r="164" spans="1:1" x14ac:dyDescent="0.2">
      <c r="A164"/>
    </row>
    <row r="165" spans="1:1" x14ac:dyDescent="0.2">
      <c r="A165"/>
    </row>
    <row r="166" spans="1:1" x14ac:dyDescent="0.2">
      <c r="A166"/>
    </row>
    <row r="167" spans="1:1" x14ac:dyDescent="0.2">
      <c r="A167"/>
    </row>
    <row r="168" spans="1:1" x14ac:dyDescent="0.2">
      <c r="A168"/>
    </row>
    <row r="169" spans="1:1" x14ac:dyDescent="0.2">
      <c r="A169"/>
    </row>
    <row r="170" spans="1:1" x14ac:dyDescent="0.2">
      <c r="A170"/>
    </row>
    <row r="171" spans="1:1" x14ac:dyDescent="0.2">
      <c r="A171"/>
    </row>
    <row r="172" spans="1:1" x14ac:dyDescent="0.2">
      <c r="A172"/>
    </row>
    <row r="173" spans="1:1" x14ac:dyDescent="0.2">
      <c r="A173"/>
    </row>
    <row r="174" spans="1:1" x14ac:dyDescent="0.2">
      <c r="A174"/>
    </row>
    <row r="175" spans="1:1" x14ac:dyDescent="0.2">
      <c r="A175"/>
    </row>
    <row r="176" spans="1:1" x14ac:dyDescent="0.2">
      <c r="A176"/>
    </row>
    <row r="177" spans="1:1" x14ac:dyDescent="0.2">
      <c r="A177"/>
    </row>
    <row r="178" spans="1:1" x14ac:dyDescent="0.2">
      <c r="A178"/>
    </row>
    <row r="179" spans="1:1" x14ac:dyDescent="0.2">
      <c r="A179"/>
    </row>
    <row r="180" spans="1:1" x14ac:dyDescent="0.2">
      <c r="A180"/>
    </row>
    <row r="219" spans="1:24" ht="12.75" customHeight="1" x14ac:dyDescent="0.2"/>
    <row r="220" spans="1:24" ht="12.75" customHeight="1" x14ac:dyDescent="0.2">
      <c r="A220" s="247" t="str">
        <f>A28</f>
        <v>Nº OPERAÇÃO</v>
      </c>
      <c r="B220" s="249"/>
      <c r="C220" s="247" t="str">
        <f>C28</f>
        <v>GESTOR</v>
      </c>
      <c r="D220" s="248"/>
      <c r="E220" s="249"/>
      <c r="F220" s="247" t="str">
        <f>F28</f>
        <v>PROGRAMA</v>
      </c>
      <c r="G220" s="248"/>
      <c r="H220" s="248"/>
      <c r="I220" s="249"/>
      <c r="J220" s="247" t="str">
        <f>J28</f>
        <v>AÇÃO / MODALIDADE</v>
      </c>
      <c r="K220" s="248"/>
      <c r="L220" s="248"/>
      <c r="M220" s="248"/>
      <c r="N220" s="248"/>
      <c r="O220" s="249"/>
      <c r="P220" s="247" t="str">
        <f>P28</f>
        <v>OBJETO</v>
      </c>
      <c r="Q220" s="248"/>
      <c r="R220" s="248"/>
      <c r="S220" s="248"/>
      <c r="T220" s="248"/>
      <c r="U220" s="248"/>
      <c r="V220" s="248"/>
      <c r="W220" s="248"/>
      <c r="X220" s="249"/>
    </row>
    <row r="221" spans="1:24" ht="12.75" customHeight="1" x14ac:dyDescent="0.2">
      <c r="A221" s="282" t="str">
        <f>IF(A29="","",A29)</f>
        <v>1261000118/2022</v>
      </c>
      <c r="B221" s="284"/>
      <c r="C221" s="282" t="str">
        <f>IF(C29="","",C29)</f>
        <v>SEE/MG</v>
      </c>
      <c r="D221" s="283"/>
      <c r="E221" s="284"/>
      <c r="F221" s="282" t="str">
        <f>IF(F29="","",F29)</f>
        <v>Projeto Mãos Dadas</v>
      </c>
      <c r="G221" s="283"/>
      <c r="H221" s="283"/>
      <c r="I221" s="284"/>
      <c r="J221" s="282" t="str">
        <f>IF(J29="","",J29)</f>
        <v>Construção de unidade escolar</v>
      </c>
      <c r="K221" s="283"/>
      <c r="L221" s="283" t="e">
        <f>IF(#REF!="","",#REF!)</f>
        <v>#REF!</v>
      </c>
      <c r="M221" s="283"/>
      <c r="N221" s="283" t="e">
        <f>IF(#REF!="","",#REF!)</f>
        <v>#REF!</v>
      </c>
      <c r="O221" s="284"/>
      <c r="P221" s="282" t="str">
        <f>IF(P29="","",P29)</f>
        <v xml:space="preserve">Construção de escola no Distrito de São Pedro da Ponte Firme </v>
      </c>
      <c r="Q221" s="283"/>
      <c r="R221" s="283"/>
      <c r="S221" s="283"/>
      <c r="T221" s="283"/>
      <c r="U221" s="283"/>
      <c r="V221" s="283"/>
      <c r="W221" s="283"/>
      <c r="X221" s="284"/>
    </row>
    <row r="222" spans="1:24" ht="6" customHeight="1" x14ac:dyDescent="0.2">
      <c r="A222" s="2"/>
      <c r="B222" s="2"/>
      <c r="C222" s="2"/>
      <c r="D222" s="2"/>
      <c r="E222" s="2"/>
      <c r="F222" s="2"/>
      <c r="G222" s="2"/>
      <c r="H222" s="2"/>
      <c r="I222" s="2"/>
      <c r="J222" s="2"/>
      <c r="K222" s="2"/>
      <c r="L222" s="2"/>
      <c r="M222" s="2"/>
      <c r="N222" s="2"/>
      <c r="O222" s="2"/>
      <c r="P222" s="2"/>
      <c r="Q222" s="2"/>
      <c r="R222" s="2"/>
      <c r="S222" s="2"/>
      <c r="T222" s="2"/>
      <c r="U222" s="2"/>
      <c r="V222" s="2"/>
      <c r="W222" s="21"/>
      <c r="X222" s="21"/>
    </row>
    <row r="223" spans="1:24" x14ac:dyDescent="0.2">
      <c r="A223" s="247" t="str">
        <f>A31</f>
        <v>PROPONENTE / TOMADOR</v>
      </c>
      <c r="B223" s="248"/>
      <c r="C223" s="248"/>
      <c r="D223" s="248"/>
      <c r="E223" s="248"/>
      <c r="F223" s="248"/>
      <c r="G223" s="247" t="str">
        <f>G31</f>
        <v>MUNICÍPIO / UF</v>
      </c>
      <c r="H223" s="248"/>
      <c r="I223" s="248"/>
      <c r="J223" s="249"/>
      <c r="K223" s="247" t="str">
        <f>K31</f>
        <v>LOCALIDADE / ENDEREÇO</v>
      </c>
      <c r="L223" s="248"/>
      <c r="M223" s="248"/>
      <c r="N223" s="248"/>
      <c r="O223" s="248"/>
      <c r="P223" s="249"/>
      <c r="Q223" s="247" t="str">
        <f>Q31</f>
        <v>APELIDO DO EMPREENDIMENTO</v>
      </c>
      <c r="R223" s="248"/>
      <c r="S223" s="248"/>
      <c r="T223" s="248"/>
      <c r="U223" s="248"/>
      <c r="V223" s="248"/>
      <c r="W223" s="248"/>
      <c r="X223" s="249"/>
    </row>
    <row r="224" spans="1:24" ht="12.75" customHeight="1" x14ac:dyDescent="0.2">
      <c r="A224" s="280" t="str">
        <f>IF(A32="","",A32)</f>
        <v>Município de Presidente Olegário</v>
      </c>
      <c r="B224" s="281"/>
      <c r="C224" s="281"/>
      <c r="D224" s="281"/>
      <c r="E224" s="281"/>
      <c r="F224" s="281"/>
      <c r="G224" s="282" t="str">
        <f>IF(G32="","",G32)</f>
        <v>Presidente Olegário / MG</v>
      </c>
      <c r="H224" s="283" t="str">
        <f>IF(I32="","",I32)</f>
        <v/>
      </c>
      <c r="I224" s="283"/>
      <c r="J224" s="284" t="e">
        <f>IF(#REF!="","",#REF!)</f>
        <v>#REF!</v>
      </c>
      <c r="K224" s="282" t="str">
        <f>IF(K32="","",K32)</f>
        <v>Rua Maria Vitória Damasceno, s/n, Distrito de São Pedro da Ponte Firme, Presidente Olegário, MG</v>
      </c>
      <c r="L224" s="283"/>
      <c r="M224" s="283"/>
      <c r="N224" s="283"/>
      <c r="O224" s="283"/>
      <c r="P224" s="284"/>
      <c r="Q224" s="282" t="str">
        <f>IF(Q32="","",Q32)</f>
        <v xml:space="preserve">Construção de escola no Distrito de São Pedro da Ponte Firme </v>
      </c>
      <c r="R224" s="283"/>
      <c r="S224" s="283"/>
      <c r="T224" s="283"/>
      <c r="U224" s="283"/>
      <c r="V224" s="283"/>
      <c r="W224" s="283"/>
      <c r="X224" s="284"/>
    </row>
    <row r="225" spans="1:24" ht="6" hidden="1" customHeight="1" x14ac:dyDescent="0.2">
      <c r="A225" s="2"/>
      <c r="B225" s="2"/>
      <c r="C225" s="2"/>
      <c r="D225" s="2"/>
      <c r="E225" s="2"/>
      <c r="F225" s="2"/>
      <c r="G225" s="2"/>
      <c r="H225" s="2"/>
      <c r="I225" s="2"/>
      <c r="J225" s="2"/>
      <c r="K225" s="2"/>
      <c r="L225" s="2"/>
      <c r="M225" s="2"/>
      <c r="N225" s="2"/>
      <c r="O225" s="2"/>
      <c r="P225" s="2"/>
      <c r="Q225" s="2"/>
      <c r="R225" s="2"/>
      <c r="S225" s="2"/>
      <c r="T225" s="2"/>
      <c r="U225" s="2"/>
      <c r="V225" s="2"/>
      <c r="W225" s="21"/>
      <c r="X225" s="21"/>
    </row>
    <row r="226" spans="1:24" hidden="1" x14ac:dyDescent="0.2">
      <c r="A226" s="247" t="str">
        <f>A37</f>
        <v>DATA BASE</v>
      </c>
      <c r="B226" s="249"/>
      <c r="C226" s="135" t="str">
        <f>C37</f>
        <v>DESON.</v>
      </c>
      <c r="D226" s="247" t="str">
        <f>D37</f>
        <v>LOCALIDADE DO SINAPI</v>
      </c>
      <c r="E226" s="248"/>
      <c r="F226" s="249"/>
      <c r="G226" s="247" t="str">
        <f>G37</f>
        <v>DESCRIÇÃO DO LOTE</v>
      </c>
      <c r="H226" s="248"/>
      <c r="I226" s="248"/>
      <c r="J226" s="248"/>
      <c r="K226" s="248"/>
      <c r="L226" s="248"/>
      <c r="M226" s="248"/>
      <c r="N226" s="248"/>
      <c r="O226" s="248"/>
      <c r="P226" s="248"/>
      <c r="Q226" s="248"/>
      <c r="R226" s="248"/>
      <c r="S226" s="249"/>
      <c r="T226" s="136" t="str">
        <f>T37</f>
        <v>BDI 1</v>
      </c>
      <c r="U226" s="136" t="str">
        <f>U37</f>
        <v>BDI 2</v>
      </c>
      <c r="V226" s="136" t="str">
        <f>V37</f>
        <v>BDI 3</v>
      </c>
      <c r="W226" s="136" t="str">
        <f>W37</f>
        <v>BDI 4</v>
      </c>
      <c r="X226" s="136" t="str">
        <f>X37</f>
        <v>BDI 5</v>
      </c>
    </row>
    <row r="227" spans="1:24" ht="12.75" hidden="1" customHeight="1" x14ac:dyDescent="0.2">
      <c r="A227" s="287">
        <f>IF(A38="","",A38)</f>
        <v>44501</v>
      </c>
      <c r="B227" s="288"/>
      <c r="C227" s="137" t="str">
        <f t="shared" ref="C227:X227" si="0">IF(C38="","",C38)</f>
        <v>Sim</v>
      </c>
      <c r="D227" s="289" t="str">
        <f t="shared" si="0"/>
        <v/>
      </c>
      <c r="E227" s="290" t="str">
        <f t="shared" si="0"/>
        <v/>
      </c>
      <c r="F227" s="291" t="str">
        <f t="shared" si="0"/>
        <v/>
      </c>
      <c r="G227" s="289" t="str">
        <f t="shared" si="0"/>
        <v xml:space="preserve">Construção de escola no Distrito de São Pedro da Ponte Firme </v>
      </c>
      <c r="H227" s="290" t="str">
        <f t="shared" si="0"/>
        <v/>
      </c>
      <c r="I227" s="290" t="str">
        <f t="shared" si="0"/>
        <v/>
      </c>
      <c r="J227" s="290" t="str">
        <f t="shared" si="0"/>
        <v/>
      </c>
      <c r="K227" s="290" t="str">
        <f t="shared" si="0"/>
        <v/>
      </c>
      <c r="L227" s="290" t="str">
        <f t="shared" si="0"/>
        <v/>
      </c>
      <c r="M227" s="290" t="str">
        <f t="shared" si="0"/>
        <v/>
      </c>
      <c r="N227" s="290" t="str">
        <f t="shared" si="0"/>
        <v/>
      </c>
      <c r="O227" s="290" t="str">
        <f t="shared" si="0"/>
        <v/>
      </c>
      <c r="P227" s="290" t="str">
        <f t="shared" si="0"/>
        <v/>
      </c>
      <c r="Q227" s="290" t="str">
        <f t="shared" si="0"/>
        <v/>
      </c>
      <c r="R227" s="290" t="str">
        <f t="shared" si="0"/>
        <v/>
      </c>
      <c r="S227" s="291" t="str">
        <f t="shared" si="0"/>
        <v/>
      </c>
      <c r="T227" s="139">
        <f t="shared" ca="1" si="0"/>
        <v>0.27639999999999998</v>
      </c>
      <c r="U227" s="96" t="str">
        <f t="shared" ca="1" si="0"/>
        <v/>
      </c>
      <c r="V227" s="96" t="str">
        <f t="shared" ca="1" si="0"/>
        <v/>
      </c>
      <c r="W227" s="96" t="str">
        <f t="shared" ca="1" si="0"/>
        <v/>
      </c>
      <c r="X227" s="96" t="str">
        <f t="shared" ca="1" si="0"/>
        <v/>
      </c>
    </row>
    <row r="228" spans="1:24" ht="6" customHeight="1" x14ac:dyDescent="0.2">
      <c r="A228" s="2"/>
      <c r="B228" s="2"/>
      <c r="C228" s="2"/>
      <c r="D228" s="2"/>
      <c r="E228" s="2"/>
      <c r="F228" s="2"/>
      <c r="G228" s="2"/>
      <c r="H228" s="2"/>
      <c r="I228" s="2"/>
      <c r="J228" s="2"/>
      <c r="K228" s="2"/>
      <c r="L228" s="2"/>
      <c r="M228" s="2"/>
      <c r="N228" s="2"/>
      <c r="O228" s="2"/>
      <c r="P228" s="2"/>
      <c r="Q228" s="2"/>
      <c r="R228" s="2"/>
      <c r="S228" s="2"/>
      <c r="T228" s="2"/>
      <c r="U228" s="2"/>
      <c r="V228" s="2"/>
      <c r="W228" s="21"/>
      <c r="X228" s="21"/>
    </row>
    <row r="229" spans="1:24" ht="12.75" customHeight="1" x14ac:dyDescent="0.2">
      <c r="A229" s="247" t="s">
        <v>87</v>
      </c>
      <c r="B229" s="249"/>
      <c r="C229" s="247" t="s">
        <v>163</v>
      </c>
      <c r="D229" s="248"/>
      <c r="E229" s="248"/>
      <c r="F229" s="248"/>
      <c r="G229" s="248"/>
      <c r="H229" s="247" t="s">
        <v>16</v>
      </c>
      <c r="I229" s="248"/>
      <c r="J229" s="134" t="s">
        <v>91</v>
      </c>
      <c r="K229" s="247" t="s">
        <v>88</v>
      </c>
      <c r="L229" s="248"/>
      <c r="M229" s="249"/>
      <c r="N229" s="134" t="s">
        <v>92</v>
      </c>
      <c r="O229" s="247" t="s">
        <v>93</v>
      </c>
      <c r="P229" s="248"/>
      <c r="Q229" s="248"/>
      <c r="R229" s="248"/>
      <c r="S229" s="248"/>
      <c r="T229" s="249"/>
      <c r="U229" s="285" t="s">
        <v>89</v>
      </c>
      <c r="V229" s="286"/>
      <c r="W229" s="285" t="s">
        <v>90</v>
      </c>
      <c r="X229" s="286"/>
    </row>
    <row r="230" spans="1:24" s="21" customFormat="1" ht="12.75" customHeight="1" x14ac:dyDescent="0.2">
      <c r="A230" s="289" t="str">
        <f>IF(A43="","",A43)</f>
        <v/>
      </c>
      <c r="B230" s="291"/>
      <c r="C230" s="289" t="str">
        <f>IF(C43="","",C43)</f>
        <v/>
      </c>
      <c r="D230" s="290"/>
      <c r="E230" s="290" t="str">
        <f>IF(E43="","",E43)</f>
        <v/>
      </c>
      <c r="F230" s="290"/>
      <c r="G230" s="290" t="str">
        <f>IF(G43="","",G43)</f>
        <v/>
      </c>
      <c r="H230" s="306" t="str">
        <f>IF(H43="","",H43)</f>
        <v/>
      </c>
      <c r="I230" s="307" t="str">
        <f>IF(I43="","",I43)</f>
        <v/>
      </c>
      <c r="J230" s="138" t="str">
        <f>IF(J43="","",J43)</f>
        <v/>
      </c>
      <c r="K230" s="298" t="str">
        <f>IF(K43="","",K43)</f>
        <v/>
      </c>
      <c r="L230" s="300"/>
      <c r="M230" s="301" t="str">
        <f>IF(M43="","",M43)</f>
        <v/>
      </c>
      <c r="N230" s="140" t="str">
        <f>IF(N43="","",N43)</f>
        <v/>
      </c>
      <c r="O230" s="298" t="str">
        <f>IF(O43="","",O43)</f>
        <v/>
      </c>
      <c r="P230" s="299"/>
      <c r="Q230" s="299" t="str">
        <f>IF(Q43="","",Q43)</f>
        <v/>
      </c>
      <c r="R230" s="300"/>
      <c r="S230" s="300" t="str">
        <f>IF(S43="","",S43)</f>
        <v/>
      </c>
      <c r="T230" s="301"/>
      <c r="U230" s="304" t="str">
        <f>IF(U43="","",U43)</f>
        <v/>
      </c>
      <c r="V230" s="305"/>
      <c r="W230" s="302" t="str">
        <f>IF(W43="","",W43)</f>
        <v/>
      </c>
      <c r="X230" s="303"/>
    </row>
    <row r="231" spans="1:24" x14ac:dyDescent="0.2">
      <c r="A231" s="22"/>
      <c r="B231" s="22"/>
      <c r="C231" s="21"/>
      <c r="D231" s="21"/>
      <c r="E231" s="21"/>
      <c r="F231" s="23"/>
      <c r="G231" s="23"/>
      <c r="H231" s="23"/>
      <c r="I231" s="21"/>
      <c r="J231" s="21"/>
      <c r="K231" s="21"/>
      <c r="L231" s="21"/>
      <c r="M231" s="21"/>
      <c r="N231" s="21"/>
      <c r="O231" s="21"/>
      <c r="P231" s="21"/>
      <c r="Q231" s="21"/>
      <c r="R231" s="21"/>
      <c r="S231" s="21"/>
      <c r="T231" s="21"/>
      <c r="U231" s="21"/>
      <c r="V231" s="21"/>
      <c r="W231" s="21"/>
      <c r="X231" s="21"/>
    </row>
    <row r="232" spans="1:24" ht="6" customHeight="1" x14ac:dyDescent="0.2">
      <c r="A232" s="1"/>
      <c r="B232" s="1"/>
      <c r="F232" s="1"/>
      <c r="G232" s="1"/>
      <c r="H232" s="1"/>
    </row>
    <row r="233" spans="1:24" x14ac:dyDescent="0.2">
      <c r="A233" s="1"/>
      <c r="B233" s="1"/>
      <c r="F233" s="1"/>
      <c r="G233" s="1"/>
      <c r="H233" s="1"/>
    </row>
    <row r="234" spans="1:24" x14ac:dyDescent="0.2">
      <c r="A234" s="1"/>
      <c r="B234" s="1"/>
      <c r="F234" s="1"/>
      <c r="G234" s="1"/>
      <c r="H234" s="1"/>
    </row>
    <row r="235" spans="1:24" x14ac:dyDescent="0.2">
      <c r="A235" s="1"/>
      <c r="B235" s="1"/>
      <c r="F235" s="1"/>
      <c r="G235" s="1"/>
      <c r="H235" s="1"/>
    </row>
    <row r="236" spans="1:24" ht="12.75" hidden="1" customHeight="1" x14ac:dyDescent="0.2">
      <c r="A236" s="1"/>
      <c r="B236" s="1"/>
      <c r="F236" s="1"/>
      <c r="G236" s="1"/>
      <c r="H236" s="1"/>
    </row>
    <row r="237" spans="1:24" ht="6" hidden="1" customHeight="1" x14ac:dyDescent="0.2">
      <c r="A237" s="1"/>
      <c r="B237" s="1"/>
      <c r="F237" s="1"/>
      <c r="G237" s="1"/>
      <c r="H237" s="1"/>
    </row>
    <row r="238" spans="1:24" ht="12.75" hidden="1" customHeight="1" x14ac:dyDescent="0.2">
      <c r="A238" s="1"/>
      <c r="B238" s="1"/>
      <c r="F238" s="1"/>
      <c r="G238" s="1"/>
      <c r="H238" s="1"/>
    </row>
    <row r="239" spans="1:24" ht="12.75" hidden="1" customHeight="1" x14ac:dyDescent="0.2">
      <c r="A239" s="1"/>
      <c r="B239" s="1"/>
      <c r="F239" s="1"/>
      <c r="G239" s="1"/>
      <c r="H239" s="1"/>
    </row>
    <row r="240" spans="1:24" ht="6" hidden="1" customHeight="1" x14ac:dyDescent="0.2">
      <c r="A240" s="1"/>
      <c r="B240" s="1"/>
      <c r="F240" s="1"/>
      <c r="G240" s="1"/>
      <c r="H240" s="1"/>
    </row>
    <row r="241" spans="1:8" ht="12.75" hidden="1" customHeight="1" x14ac:dyDescent="0.2">
      <c r="A241" s="1"/>
      <c r="B241" s="1"/>
      <c r="F241" s="1"/>
      <c r="G241" s="1"/>
      <c r="H241" s="1"/>
    </row>
    <row r="242" spans="1:8" ht="12.75" hidden="1" customHeight="1" x14ac:dyDescent="0.2">
      <c r="A242" s="1"/>
      <c r="B242" s="1"/>
      <c r="F242" s="1"/>
      <c r="G242" s="1"/>
      <c r="H242" s="1"/>
    </row>
    <row r="243" spans="1:8" ht="12.75" hidden="1" customHeight="1" x14ac:dyDescent="0.2">
      <c r="A243" s="1"/>
      <c r="B243" s="1"/>
      <c r="F243" s="1"/>
      <c r="G243" s="1"/>
      <c r="H243" s="1"/>
    </row>
    <row r="244" spans="1:8" ht="12.75" customHeight="1" x14ac:dyDescent="0.2">
      <c r="A244" s="1"/>
      <c r="B244" s="1"/>
      <c r="F244" s="1"/>
      <c r="G244" s="1"/>
      <c r="H244" s="1"/>
    </row>
    <row r="245" spans="1:8" ht="6" customHeight="1" x14ac:dyDescent="0.2">
      <c r="A245" s="1"/>
      <c r="B245" s="1"/>
      <c r="F245" s="1"/>
      <c r="G245" s="1"/>
      <c r="H245" s="1"/>
    </row>
    <row r="246" spans="1:8" ht="12.75" customHeight="1" x14ac:dyDescent="0.2">
      <c r="A246" s="1"/>
      <c r="B246" s="1"/>
      <c r="F246" s="1"/>
      <c r="G246" s="1"/>
      <c r="H246" s="1"/>
    </row>
    <row r="247" spans="1:8" ht="12.75" customHeight="1" x14ac:dyDescent="0.2">
      <c r="A247" s="1"/>
      <c r="B247" s="1"/>
      <c r="F247" s="1"/>
      <c r="G247" s="1"/>
      <c r="H247" s="1"/>
    </row>
    <row r="248" spans="1:8" ht="12.75" customHeight="1" x14ac:dyDescent="0.2">
      <c r="A248" s="1"/>
      <c r="B248" s="1"/>
      <c r="F248" s="1"/>
      <c r="G248" s="1"/>
      <c r="H248" s="1"/>
    </row>
    <row r="249" spans="1:8" ht="12.75" customHeight="1" x14ac:dyDescent="0.2">
      <c r="A249" s="1"/>
      <c r="B249" s="1"/>
      <c r="F249" s="1"/>
      <c r="G249" s="1"/>
      <c r="H249" s="1"/>
    </row>
    <row r="250" spans="1:8" ht="6" customHeight="1" x14ac:dyDescent="0.2">
      <c r="A250" s="1"/>
      <c r="B250" s="1"/>
      <c r="F250" s="1"/>
      <c r="G250" s="1"/>
      <c r="H250" s="1"/>
    </row>
    <row r="251" spans="1:8" x14ac:dyDescent="0.2">
      <c r="A251" s="1"/>
      <c r="B251" s="1"/>
      <c r="F251" s="1"/>
      <c r="G251" s="1"/>
      <c r="H251" s="1"/>
    </row>
    <row r="252" spans="1:8" x14ac:dyDescent="0.2">
      <c r="A252" s="1"/>
      <c r="B252" s="1"/>
      <c r="F252" s="1"/>
      <c r="G252" s="1"/>
      <c r="H252" s="1"/>
    </row>
    <row r="253" spans="1:8" x14ac:dyDescent="0.2">
      <c r="A253" s="1"/>
      <c r="B253" s="1"/>
      <c r="F253" s="1"/>
      <c r="G253" s="1"/>
      <c r="H253" s="1"/>
    </row>
    <row r="254" spans="1:8" x14ac:dyDescent="0.2">
      <c r="A254" s="1"/>
      <c r="B254" s="1"/>
      <c r="F254" s="1"/>
      <c r="G254" s="1"/>
      <c r="H254" s="1"/>
    </row>
    <row r="255" spans="1:8" x14ac:dyDescent="0.2">
      <c r="A255" s="1"/>
      <c r="B255" s="1"/>
      <c r="F255" s="1"/>
      <c r="G255" s="1"/>
      <c r="H255" s="1"/>
    </row>
    <row r="256" spans="1:8" x14ac:dyDescent="0.2">
      <c r="A256" s="1"/>
      <c r="B256" s="1"/>
      <c r="F256" s="1"/>
      <c r="G256" s="1"/>
      <c r="H256" s="1"/>
    </row>
    <row r="257" spans="1:8" x14ac:dyDescent="0.2">
      <c r="A257" s="1"/>
      <c r="B257" s="1"/>
      <c r="F257" s="1"/>
      <c r="G257" s="1"/>
      <c r="H257" s="1"/>
    </row>
  </sheetData>
  <sheetProtection algorithmName="SHA-512" hashValue="xQVQS9zpdmuN3EDrJBt+tjGclrRj1r+gFGlAsf4kaMfHYgSG+SdEm7TGn39ZG6i4TT8RzNMDEVNJu+lCLnc3eg==" saltValue="N5yYA+BKskWQF/rCbeHAgg==" spinCount="100000" sheet="1" objects="1" scenarios="1"/>
  <mergeCells count="136">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s>
  <phoneticPr fontId="25" type="noConversion"/>
  <conditionalFormatting sqref="B54:E55 B56 B57:E57">
    <cfRule type="expression" dxfId="332" priority="42" stopIfTrue="1">
      <formula>$B54&lt;&gt;""</formula>
    </cfRule>
  </conditionalFormatting>
  <conditionalFormatting sqref="A48 H54:K54 H55:H56 H57:K57 A29:C29 J29 F29 A32 P29 G32 K32">
    <cfRule type="expression" dxfId="331" priority="48" stopIfTrue="1">
      <formula>A29&lt;&gt;""</formula>
    </cfRule>
  </conditionalFormatting>
  <conditionalFormatting sqref="G53:K54 G55:H56 G57:K57">
    <cfRule type="expression" dxfId="330" priority="43" stopIfTrue="1">
      <formula>$K$52&lt;&gt;"SIM"</formula>
    </cfRule>
  </conditionalFormatting>
  <conditionalFormatting sqref="A40:X43">
    <cfRule type="expression" dxfId="329" priority="56" stopIfTrue="1">
      <formula>OR(TipoOrçamento="BASE",TipoOrçamento="REPROGRAMADONPL")</formula>
    </cfRule>
    <cfRule type="expression" dxfId="328" priority="57" stopIfTrue="1">
      <formula>A40&lt;&gt;""</formula>
    </cfRule>
  </conditionalFormatting>
  <conditionalFormatting sqref="A35:X38">
    <cfRule type="expression" dxfId="327" priority="58" stopIfTrue="1">
      <formula>OR(TipoOrçamento="LICITADO",TipoOrçamento="REPROGRAMADOAC")</formula>
    </cfRule>
    <cfRule type="expression" dxfId="326" priority="59" stopIfTrue="1">
      <formula>A35&lt;&gt;""</formula>
    </cfRule>
  </conditionalFormatting>
  <conditionalFormatting sqref="Q32">
    <cfRule type="expression" dxfId="325" priority="1" stopIfTrue="1">
      <formula>Q32&lt;&gt;""</formula>
    </cfRule>
  </conditionalFormatting>
  <dataValidations count="7">
    <dataValidation type="list" allowBlank="1" showInputMessage="1" showErrorMessage="1" sqref="C227 J43 C38" xr:uid="{00000000-0002-0000-0000-000000000000}">
      <formula1>"Sim,Não"</formula1>
    </dataValidation>
    <dataValidation type="list" allowBlank="1" showInputMessage="1" showErrorMessage="1" sqref="K52" xr:uid="{00000000-0002-0000-0000-000001000000}">
      <formula1>"SIM,NÃO"</formula1>
    </dataValidation>
    <dataValidation type="list" allowBlank="1" showInputMessage="1" showErrorMessage="1" sqref="D38:F38" xr:uid="{00000000-0002-0000-0000-000002000000}">
      <formula1>Dados.Lista.Localidade</formula1>
    </dataValidation>
    <dataValidation type="list" allowBlank="1" showInputMessage="1" showErrorMessage="1" sqref="K43:M43" xr:uid="{00000000-0002-0000-0000-000003000000}">
      <formula1>Dados.Lista.RegimeExecução</formula1>
    </dataValidation>
    <dataValidation type="list" allowBlank="1" showInputMessage="1" showErrorMessage="1" sqref="N43" xr:uid="{00000000-0002-0000-0000-000004000000}">
      <formula1>Dados.Lista.Acompanhamento</formula1>
    </dataValidation>
    <dataValidation type="date" operator="greaterThan" allowBlank="1" showInputMessage="1" showErrorMessage="1" errorTitle="Erro de valor" error="Digite somente datas." sqref="A38:B38 H43:I43 A48:C48" xr:uid="{00000000-0002-0000-0000-000005000000}">
      <formula1>36526</formula1>
    </dataValidation>
    <dataValidation allowBlank="1" showInputMessage="1" showErrorMessage="1" promptTitle="Nº OPERAÇÃO:" prompt="nº do Contrato de Repasse ou Termo de Compromisso, firmado com a CAIXA._x000a_Formato 0.000.000-00/0000." sqref="A29:B29" xr:uid="{00000000-0002-0000-0000-000006000000}"/>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4">
    <tabColor rgb="FFFFFF00"/>
    <pageSetUpPr fitToPage="1"/>
  </sheetPr>
  <dimension ref="A1:AE60"/>
  <sheetViews>
    <sheetView showGridLines="0" topLeftCell="I34" zoomScaleNormal="100" zoomScaleSheetLayoutView="100" zoomScalePageLayoutView="70" workbookViewId="0">
      <selection activeCell="P49" sqref="P49"/>
    </sheetView>
  </sheetViews>
  <sheetFormatPr defaultColWidth="0" defaultRowHeight="12.75" zeroHeight="1" x14ac:dyDescent="0.2"/>
  <cols>
    <col min="1" max="1" width="30.28515625" style="52" hidden="1" customWidth="1"/>
    <col min="2" max="3" width="9.140625" style="52" hidden="1" customWidth="1"/>
    <col min="4" max="4" width="23.5703125" style="52" hidden="1" customWidth="1"/>
    <col min="5" max="8" width="9.140625" style="52" hidden="1" customWidth="1"/>
    <col min="9" max="14" width="10.7109375" style="52" customWidth="1"/>
    <col min="15" max="15" width="12.85546875" style="52" customWidth="1"/>
    <col min="16" max="18" width="10.7109375" style="52" customWidth="1"/>
    <col min="19" max="19" width="3.7109375" style="52" customWidth="1"/>
    <col min="20" max="20" width="29.5703125" style="52" customWidth="1"/>
    <col min="21" max="21" width="13.7109375" style="52" customWidth="1"/>
    <col min="22" max="16384" width="9.140625" style="52" hidden="1"/>
  </cols>
  <sheetData>
    <row r="1" spans="1:29" ht="15" customHeight="1" x14ac:dyDescent="0.25">
      <c r="E1" s="53" t="s">
        <v>25</v>
      </c>
      <c r="F1" s="53" t="s">
        <v>26</v>
      </c>
      <c r="G1" s="53" t="s">
        <v>27</v>
      </c>
      <c r="N1" s="56" t="str">
        <f ca="1">"Quadro de Composição do BDI "&amp;MID(CELL("nome.arquivo",N1),5+FIND("BDI (",CELL("nome.arquivo",N1)),1)</f>
        <v>Quadro de Composição do BDI 1</v>
      </c>
      <c r="Q1"/>
      <c r="R1"/>
    </row>
    <row r="2" spans="1:29" x14ac:dyDescent="0.2">
      <c r="A2" s="52" t="s">
        <v>28</v>
      </c>
      <c r="B2" s="54" t="s">
        <v>29</v>
      </c>
      <c r="C2" s="52" t="str">
        <f t="shared" ref="C2:C49" si="0">CONCATENATE(A2,"-",B2)</f>
        <v>Construção e Reforma de Edifícios-AC</v>
      </c>
      <c r="E2" s="55">
        <v>0.03</v>
      </c>
      <c r="F2" s="55">
        <v>0.04</v>
      </c>
      <c r="G2" s="55">
        <v>5.5E-2</v>
      </c>
      <c r="Q2"/>
      <c r="R2"/>
    </row>
    <row r="3" spans="1:29" x14ac:dyDescent="0.2">
      <c r="A3" s="52" t="str">
        <f>A2</f>
        <v>Construção e Reforma de Edifícios</v>
      </c>
      <c r="B3" s="54" t="s">
        <v>30</v>
      </c>
      <c r="C3" s="52" t="str">
        <f t="shared" si="0"/>
        <v>Construção e Reforma de Edifícios-SG</v>
      </c>
      <c r="E3" s="55">
        <v>8.0000000000000002E-3</v>
      </c>
      <c r="F3" s="55">
        <v>8.0000000000000002E-3</v>
      </c>
      <c r="G3" s="55">
        <v>0.01</v>
      </c>
    </row>
    <row r="4" spans="1:29" x14ac:dyDescent="0.2">
      <c r="A4" s="52" t="str">
        <f>A3</f>
        <v>Construção e Reforma de Edifícios</v>
      </c>
      <c r="B4" s="54" t="s">
        <v>31</v>
      </c>
      <c r="C4" s="52" t="str">
        <f t="shared" si="0"/>
        <v>Construção e Reforma de Edifícios-R</v>
      </c>
      <c r="E4" s="55">
        <v>9.7000000000000003E-3</v>
      </c>
      <c r="F4" s="55">
        <v>1.2699999999999999E-2</v>
      </c>
      <c r="G4" s="55">
        <v>1.2699999999999999E-2</v>
      </c>
      <c r="I4" s="239" t="s">
        <v>150</v>
      </c>
      <c r="J4" s="250"/>
      <c r="K4" s="239" t="s">
        <v>173</v>
      </c>
      <c r="L4" s="240"/>
      <c r="M4" s="240"/>
      <c r="N4" s="240"/>
      <c r="O4" s="240"/>
      <c r="P4" s="240"/>
      <c r="Q4" s="240"/>
      <c r="R4" s="250"/>
    </row>
    <row r="5" spans="1:29" ht="12.75" customHeight="1" x14ac:dyDescent="0.3">
      <c r="A5" s="52" t="str">
        <f>A4</f>
        <v>Construção e Reforma de Edifícios</v>
      </c>
      <c r="B5" s="54" t="s">
        <v>32</v>
      </c>
      <c r="C5" s="52" t="str">
        <f t="shared" si="0"/>
        <v>Construção e Reforma de Edifícios-DF</v>
      </c>
      <c r="E5" s="55">
        <v>5.8999999999999999E-3</v>
      </c>
      <c r="F5" s="55">
        <v>1.23E-2</v>
      </c>
      <c r="G5" s="55">
        <v>1.3899999999999999E-2</v>
      </c>
      <c r="I5" s="343" t="str">
        <f>DADOS!A29</f>
        <v>1261000118/2022</v>
      </c>
      <c r="J5" s="344"/>
      <c r="K5" s="345" t="str">
        <f>DADOS!A32</f>
        <v>Município de Presidente Olegário</v>
      </c>
      <c r="L5" s="346"/>
      <c r="M5" s="346"/>
      <c r="N5" s="346"/>
      <c r="O5" s="346"/>
      <c r="P5" s="346"/>
      <c r="Q5" s="346"/>
      <c r="R5" s="347"/>
      <c r="S5" s="57"/>
    </row>
    <row r="6" spans="1:29" ht="6" customHeight="1" x14ac:dyDescent="0.2">
      <c r="A6" s="52" t="str">
        <f>A5</f>
        <v>Construção e Reforma de Edifícios</v>
      </c>
      <c r="B6" s="54" t="s">
        <v>164</v>
      </c>
      <c r="C6" s="52" t="str">
        <f t="shared" si="0"/>
        <v>Construção e Reforma de Edifícios-L</v>
      </c>
      <c r="E6" s="55">
        <v>6.1600000000000002E-2</v>
      </c>
      <c r="F6" s="55">
        <v>7.400000000000001E-2</v>
      </c>
      <c r="G6" s="55">
        <v>8.9600000000000013E-2</v>
      </c>
      <c r="I6" s="58"/>
      <c r="J6" s="58"/>
      <c r="K6" s="58"/>
      <c r="L6" s="58"/>
      <c r="M6" s="58"/>
      <c r="N6" s="58"/>
      <c r="O6" s="58"/>
      <c r="P6" s="58"/>
      <c r="Q6" s="58"/>
      <c r="R6" s="58"/>
    </row>
    <row r="7" spans="1:29" ht="13.5" customHeight="1" x14ac:dyDescent="0.2">
      <c r="A7" s="52" t="str">
        <f>A6</f>
        <v>Construção e Reforma de Edifícios</v>
      </c>
      <c r="B7" s="59" t="s">
        <v>33</v>
      </c>
      <c r="C7" s="52" t="str">
        <f t="shared" si="0"/>
        <v>Construção e Reforma de Edifícios-BDI PAD</v>
      </c>
      <c r="E7" s="55">
        <v>0.2034</v>
      </c>
      <c r="F7" s="55">
        <v>0.22120000000000001</v>
      </c>
      <c r="G7" s="55">
        <v>0.25</v>
      </c>
      <c r="I7" s="239" t="s">
        <v>0</v>
      </c>
      <c r="J7" s="240"/>
      <c r="K7" s="240"/>
      <c r="L7" s="240"/>
      <c r="M7" s="240"/>
      <c r="N7" s="240"/>
      <c r="O7" s="240"/>
      <c r="P7" s="240"/>
      <c r="Q7" s="240"/>
      <c r="R7" s="250"/>
    </row>
    <row r="8" spans="1:29" ht="24.75" customHeight="1" x14ac:dyDescent="0.2">
      <c r="A8" s="52" t="s">
        <v>34</v>
      </c>
      <c r="B8" s="54" t="s">
        <v>29</v>
      </c>
      <c r="C8" s="52" t="str">
        <f t="shared" si="0"/>
        <v>Construção de Praças Urbanas, Rodovias, Ferrovias e recapeamento e pavimentação de vias urbanas-AC</v>
      </c>
      <c r="E8" s="55">
        <v>3.7999999999999999E-2</v>
      </c>
      <c r="F8" s="55">
        <v>4.0099999999999997E-2</v>
      </c>
      <c r="G8" s="55">
        <v>4.6699999999999998E-2</v>
      </c>
      <c r="I8" s="348" t="str">
        <f>DADOS!P29</f>
        <v xml:space="preserve">Construção de escola no Distrito de São Pedro da Ponte Firme </v>
      </c>
      <c r="J8" s="348"/>
      <c r="K8" s="348"/>
      <c r="L8" s="348"/>
      <c r="M8" s="348"/>
      <c r="N8" s="348"/>
      <c r="O8" s="348"/>
      <c r="P8" s="348"/>
      <c r="Q8" s="348"/>
      <c r="R8" s="348"/>
    </row>
    <row r="9" spans="1:29" ht="6" customHeight="1" x14ac:dyDescent="0.2">
      <c r="A9" s="52" t="s">
        <v>34</v>
      </c>
      <c r="B9" s="54" t="s">
        <v>30</v>
      </c>
      <c r="C9" s="52" t="str">
        <f t="shared" si="0"/>
        <v>Construção de Praças Urbanas, Rodovias, Ferrovias e recapeamento e pavimentação de vias urbanas-SG</v>
      </c>
      <c r="E9" s="55">
        <v>3.2000000000000002E-3</v>
      </c>
      <c r="F9" s="55">
        <v>4.0000000000000001E-3</v>
      </c>
      <c r="G9" s="55">
        <v>7.4000000000000003E-3</v>
      </c>
      <c r="I9" s="58"/>
      <c r="J9" s="58"/>
      <c r="K9" s="58"/>
      <c r="L9" s="58"/>
      <c r="M9" s="58"/>
      <c r="N9" s="58"/>
      <c r="O9" s="58"/>
      <c r="P9" s="58"/>
      <c r="Q9" s="58"/>
      <c r="R9" s="58"/>
    </row>
    <row r="10" spans="1:29" x14ac:dyDescent="0.2">
      <c r="A10" s="52" t="s">
        <v>34</v>
      </c>
      <c r="B10" s="54" t="s">
        <v>31</v>
      </c>
      <c r="C10" s="52" t="str">
        <f t="shared" si="0"/>
        <v>Construção de Praças Urbanas, Rodovias, Ferrovias e recapeamento e pavimentação de vias urbanas-R</v>
      </c>
      <c r="E10" s="55">
        <v>5.0000000000000001E-3</v>
      </c>
      <c r="F10" s="55">
        <v>5.6000000000000008E-3</v>
      </c>
      <c r="G10" s="55">
        <v>9.7000000000000003E-3</v>
      </c>
      <c r="I10" s="239" t="s">
        <v>35</v>
      </c>
      <c r="J10" s="240"/>
      <c r="K10" s="240"/>
      <c r="L10" s="240"/>
      <c r="M10" s="240"/>
      <c r="N10" s="240"/>
      <c r="O10" s="240"/>
      <c r="P10" s="240"/>
      <c r="Q10" s="239" t="s">
        <v>13</v>
      </c>
      <c r="R10" s="250"/>
    </row>
    <row r="11" spans="1:29" x14ac:dyDescent="0.2">
      <c r="A11" s="52" t="s">
        <v>34</v>
      </c>
      <c r="B11" s="54" t="s">
        <v>32</v>
      </c>
      <c r="C11" s="52" t="str">
        <f t="shared" si="0"/>
        <v>Construção de Praças Urbanas, Rodovias, Ferrovias e recapeamento e pavimentação de vias urbanas-DF</v>
      </c>
      <c r="E11" s="55">
        <v>1.0200000000000001E-2</v>
      </c>
      <c r="F11" s="55">
        <v>1.11E-2</v>
      </c>
      <c r="G11" s="55">
        <v>1.21E-2</v>
      </c>
      <c r="I11" s="338" t="s">
        <v>28</v>
      </c>
      <c r="J11" s="339"/>
      <c r="K11" s="339"/>
      <c r="L11" s="339"/>
      <c r="M11" s="339"/>
      <c r="N11" s="339"/>
      <c r="O11" s="339"/>
      <c r="P11" s="340"/>
      <c r="Q11" s="341" t="str">
        <f>DADOS!$C$38</f>
        <v>Sim</v>
      </c>
      <c r="R11" s="342"/>
    </row>
    <row r="12" spans="1:29" x14ac:dyDescent="0.2">
      <c r="A12" s="52" t="s">
        <v>34</v>
      </c>
      <c r="B12" s="54" t="s">
        <v>164</v>
      </c>
      <c r="C12" s="52" t="str">
        <f t="shared" si="0"/>
        <v>Construção de Praças Urbanas, Rodovias, Ferrovias e recapeamento e pavimentação de vias urbanas-L</v>
      </c>
      <c r="E12" s="55">
        <v>6.6400000000000001E-2</v>
      </c>
      <c r="F12" s="55">
        <v>7.2999999999999995E-2</v>
      </c>
      <c r="G12" s="55">
        <v>8.6899999999999991E-2</v>
      </c>
    </row>
    <row r="13" spans="1:29" ht="15" customHeight="1" x14ac:dyDescent="0.2">
      <c r="A13" s="52" t="s">
        <v>34</v>
      </c>
      <c r="B13" s="59" t="s">
        <v>33</v>
      </c>
      <c r="C13" s="52" t="str">
        <f t="shared" si="0"/>
        <v>Construção de Praças Urbanas, Rodovias, Ferrovias e recapeamento e pavimentação de vias urbanas-BDI PAD</v>
      </c>
      <c r="E13" s="55">
        <v>0.19600000000000001</v>
      </c>
      <c r="F13" s="55">
        <v>0.2097</v>
      </c>
      <c r="G13" s="55">
        <v>0.24230000000000002</v>
      </c>
      <c r="I13" s="353" t="s">
        <v>36</v>
      </c>
      <c r="J13" s="353"/>
      <c r="K13" s="353"/>
      <c r="L13" s="353"/>
      <c r="M13" s="353"/>
      <c r="N13" s="353"/>
      <c r="O13" s="353"/>
      <c r="P13" s="353"/>
      <c r="Q13" s="350">
        <v>0.5</v>
      </c>
      <c r="R13" s="350"/>
    </row>
    <row r="14" spans="1:29" ht="15" customHeight="1" x14ac:dyDescent="0.2">
      <c r="A14" s="52" t="s">
        <v>37</v>
      </c>
      <c r="B14" s="54" t="s">
        <v>29</v>
      </c>
      <c r="C14" s="52" t="str">
        <f t="shared" si="0"/>
        <v>Construção de Redes de Abastecimento de Água, Coleta de Esgoto-AC</v>
      </c>
      <c r="E14" s="55">
        <v>3.4300000000000004E-2</v>
      </c>
      <c r="F14" s="55">
        <v>4.9299999999999997E-2</v>
      </c>
      <c r="G14" s="55">
        <v>6.7099999999999993E-2</v>
      </c>
      <c r="I14" s="351" t="s">
        <v>38</v>
      </c>
      <c r="J14" s="351"/>
      <c r="K14" s="351"/>
      <c r="L14" s="351"/>
      <c r="M14" s="351"/>
      <c r="N14" s="351"/>
      <c r="O14" s="351"/>
      <c r="P14" s="351"/>
      <c r="Q14" s="350">
        <v>0.03</v>
      </c>
      <c r="R14" s="350"/>
    </row>
    <row r="15" spans="1:29" x14ac:dyDescent="0.2">
      <c r="A15" s="52" t="str">
        <f>A14</f>
        <v>Construção de Redes de Abastecimento de Água, Coleta de Esgoto</v>
      </c>
      <c r="B15" s="54" t="s">
        <v>30</v>
      </c>
      <c r="C15" s="52" t="str">
        <f t="shared" si="0"/>
        <v>Construção de Redes de Abastecimento de Água, Coleta de Esgoto-SG</v>
      </c>
      <c r="E15" s="55">
        <v>2.8000000000000004E-3</v>
      </c>
      <c r="F15" s="55">
        <v>4.8999999999999998E-3</v>
      </c>
      <c r="G15" s="55">
        <v>7.4999999999999997E-3</v>
      </c>
    </row>
    <row r="16" spans="1:29" ht="12.75" customHeight="1" x14ac:dyDescent="0.2">
      <c r="B16" s="54"/>
      <c r="E16" s="55"/>
      <c r="F16" s="55"/>
      <c r="G16" s="55"/>
      <c r="I16" s="352" t="s">
        <v>39</v>
      </c>
      <c r="J16" s="352"/>
      <c r="K16" s="352"/>
      <c r="L16" s="352"/>
      <c r="M16" s="352" t="s">
        <v>40</v>
      </c>
      <c r="N16" s="355" t="s">
        <v>41</v>
      </c>
      <c r="O16" s="355" t="s">
        <v>42</v>
      </c>
      <c r="P16" s="354" t="s">
        <v>43</v>
      </c>
      <c r="Q16" s="354" t="s">
        <v>44</v>
      </c>
      <c r="R16" s="332" t="s">
        <v>45</v>
      </c>
      <c r="T16" s="329" t="str">
        <f>IF(V27,"Para BDI fora do intervalo estatístico, deve ser apresentado Relatório Técnico Circunstanciado justificando a adoção do percentual de cada parcela do BDI.","")</f>
        <v/>
      </c>
      <c r="U16" s="329"/>
      <c r="V16" s="108"/>
      <c r="W16" s="108"/>
      <c r="X16" s="108"/>
      <c r="Y16" s="108"/>
      <c r="Z16" s="108"/>
      <c r="AA16" s="108"/>
      <c r="AB16" s="108"/>
      <c r="AC16" s="108"/>
    </row>
    <row r="17" spans="1:31" ht="15.75" customHeight="1" x14ac:dyDescent="0.2">
      <c r="A17" s="52" t="str">
        <f>A15</f>
        <v>Construção de Redes de Abastecimento de Água, Coleta de Esgoto</v>
      </c>
      <c r="B17" s="54" t="s">
        <v>31</v>
      </c>
      <c r="C17" s="52" t="str">
        <f t="shared" si="0"/>
        <v>Construção de Redes de Abastecimento de Água, Coleta de Esgoto-R</v>
      </c>
      <c r="E17" s="55">
        <v>0.01</v>
      </c>
      <c r="F17" s="55">
        <v>1.3899999999999999E-2</v>
      </c>
      <c r="G17" s="55">
        <v>1.7399999999999999E-2</v>
      </c>
      <c r="I17" s="352"/>
      <c r="J17" s="352"/>
      <c r="K17" s="352"/>
      <c r="L17" s="352"/>
      <c r="M17" s="352"/>
      <c r="N17" s="355"/>
      <c r="O17" s="355"/>
      <c r="P17" s="354"/>
      <c r="Q17" s="354"/>
      <c r="R17" s="332"/>
      <c r="T17" s="329"/>
      <c r="U17" s="329"/>
      <c r="V17" s="108"/>
      <c r="W17" s="108"/>
      <c r="X17" s="108"/>
      <c r="Y17" s="108"/>
      <c r="Z17" s="108"/>
      <c r="AA17" s="108"/>
      <c r="AB17" s="108"/>
      <c r="AC17" s="108"/>
    </row>
    <row r="18" spans="1:31" ht="26.25" customHeight="1" x14ac:dyDescent="0.2">
      <c r="A18" s="52" t="str">
        <f>A17</f>
        <v>Construção de Redes de Abastecimento de Água, Coleta de Esgoto</v>
      </c>
      <c r="B18" s="54" t="s">
        <v>32</v>
      </c>
      <c r="C18" s="52" t="str">
        <f t="shared" si="0"/>
        <v>Construção de Redes de Abastecimento de Água, Coleta de Esgoto-DF</v>
      </c>
      <c r="E18" s="55">
        <v>9.3999999999999986E-3</v>
      </c>
      <c r="F18" s="55">
        <v>9.8999999999999991E-3</v>
      </c>
      <c r="G18" s="55">
        <v>1.1699999999999999E-2</v>
      </c>
      <c r="I18" s="317" t="str">
        <f>IF($I$11=$A$59,"Encargos Sociais incidentes sobre a mão de obra","Administração Central")</f>
        <v>Administração Central</v>
      </c>
      <c r="J18" s="317"/>
      <c r="K18" s="317"/>
      <c r="L18" s="317"/>
      <c r="M18" s="60" t="str">
        <f>IF($I$11=$A$59,"K1","AC")</f>
        <v>AC</v>
      </c>
      <c r="N18" s="61">
        <v>0.04</v>
      </c>
      <c r="O18" s="62" t="s">
        <v>46</v>
      </c>
      <c r="P18" s="63">
        <f>VLOOKUP(CONCATENATE(I$11,"-",M18),$C$2:$G$49,3,FALSE)</f>
        <v>0.03</v>
      </c>
      <c r="Q18" s="63">
        <f>VLOOKUP(CONCATENATE(I$11,"-",M18),$C$2:$G$49,4,FALSE)</f>
        <v>0.04</v>
      </c>
      <c r="R18" s="63">
        <f>VLOOKUP(CONCATENATE(I$11,"-",M18),$C$2:$G$49,5,FALSE)</f>
        <v>5.5E-2</v>
      </c>
      <c r="T18" s="329"/>
      <c r="U18" s="329"/>
      <c r="V18" s="108"/>
      <c r="W18" s="108"/>
      <c r="X18" s="108"/>
      <c r="Y18" s="108"/>
      <c r="Z18" s="108"/>
      <c r="AA18" s="108"/>
      <c r="AB18" s="108"/>
      <c r="AC18" s="108"/>
    </row>
    <row r="19" spans="1:31" ht="26.25" customHeight="1" x14ac:dyDescent="0.2">
      <c r="A19" s="52" t="str">
        <f>A18</f>
        <v>Construção de Redes de Abastecimento de Água, Coleta de Esgoto</v>
      </c>
      <c r="B19" s="54" t="s">
        <v>164</v>
      </c>
      <c r="C19" s="52" t="str">
        <f t="shared" si="0"/>
        <v>Construção de Redes de Abastecimento de Água, Coleta de Esgoto-L</v>
      </c>
      <c r="E19" s="55">
        <v>6.7400000000000002E-2</v>
      </c>
      <c r="F19" s="55">
        <v>8.0399999999999985E-2</v>
      </c>
      <c r="G19" s="55">
        <v>9.4E-2</v>
      </c>
      <c r="I19" s="317" t="str">
        <f>IF($I$11=$A$59,"Administração Central da empresa ou consultoria - overhead","Seguro e Garantia")</f>
        <v>Seguro e Garantia</v>
      </c>
      <c r="J19" s="317"/>
      <c r="K19" s="317"/>
      <c r="L19" s="317"/>
      <c r="M19" s="60" t="str">
        <f>IF($I$11=$A$59,"K2","SG")</f>
        <v>SG</v>
      </c>
      <c r="N19" s="61">
        <v>8.0000000000000002E-3</v>
      </c>
      <c r="O19" s="62" t="s">
        <v>46</v>
      </c>
      <c r="P19" s="63">
        <f>VLOOKUP(CONCATENATE(I$11,"-",M19),$C$2:$G$49,3,FALSE)</f>
        <v>8.0000000000000002E-3</v>
      </c>
      <c r="Q19" s="63">
        <f>VLOOKUP(CONCATENATE(I$11,"-",M19),$C$2:$G$49,4,FALSE)</f>
        <v>8.0000000000000002E-3</v>
      </c>
      <c r="R19" s="63">
        <f>VLOOKUP(CONCATENATE(I$11,"-",M19),$C$2:$G$49,5,FALSE)</f>
        <v>0.01</v>
      </c>
      <c r="T19" s="329"/>
      <c r="U19" s="329"/>
      <c r="V19" s="108"/>
      <c r="W19" s="108"/>
      <c r="X19" s="108"/>
      <c r="Y19" s="108"/>
      <c r="Z19" s="108"/>
      <c r="AA19" s="108"/>
      <c r="AB19" s="108"/>
      <c r="AC19" s="108"/>
    </row>
    <row r="20" spans="1:31" ht="26.25" customHeight="1" x14ac:dyDescent="0.2">
      <c r="A20" s="52" t="str">
        <f>A19</f>
        <v>Construção de Redes de Abastecimento de Água, Coleta de Esgoto</v>
      </c>
      <c r="B20" s="59" t="s">
        <v>33</v>
      </c>
      <c r="C20" s="52" t="str">
        <f t="shared" si="0"/>
        <v>Construção de Redes de Abastecimento de Água, Coleta de Esgoto-BDI PAD</v>
      </c>
      <c r="E20" s="55">
        <v>0.20760000000000001</v>
      </c>
      <c r="F20" s="55">
        <v>0.24179999999999999</v>
      </c>
      <c r="G20" s="55">
        <v>0.26440000000000002</v>
      </c>
      <c r="I20" s="317" t="str">
        <f>IF($I$11=$A$59,"","Risco")</f>
        <v>Risco</v>
      </c>
      <c r="J20" s="317"/>
      <c r="K20" s="317"/>
      <c r="L20" s="317"/>
      <c r="M20" s="60" t="str">
        <f>IF($I$11=$A$59,"","R")</f>
        <v>R</v>
      </c>
      <c r="N20" s="61">
        <v>1.2699999999999999E-2</v>
      </c>
      <c r="O20" s="62" t="s">
        <v>46</v>
      </c>
      <c r="P20" s="63">
        <f>VLOOKUP(CONCATENATE(I$11,"-",M20),$C$2:$G$49,3,FALSE)</f>
        <v>9.7000000000000003E-3</v>
      </c>
      <c r="Q20" s="63">
        <f>VLOOKUP(CONCATENATE(I$11,"-",M20),$C$2:$G$49,4,FALSE)</f>
        <v>1.2699999999999999E-2</v>
      </c>
      <c r="R20" s="63">
        <f>VLOOKUP(CONCATENATE(I$11,"-",M20),$C$2:$G$49,5,FALSE)</f>
        <v>1.2699999999999999E-2</v>
      </c>
      <c r="T20" s="329"/>
      <c r="U20" s="329"/>
      <c r="V20" s="108"/>
      <c r="W20" s="108"/>
      <c r="X20" s="108"/>
      <c r="Y20" s="108"/>
      <c r="Z20" s="108"/>
      <c r="AA20" s="108"/>
      <c r="AB20" s="108"/>
      <c r="AC20" s="108"/>
    </row>
    <row r="21" spans="1:31" ht="26.25" customHeight="1" x14ac:dyDescent="0.2">
      <c r="A21" s="52" t="s">
        <v>47</v>
      </c>
      <c r="B21" s="54" t="s">
        <v>29</v>
      </c>
      <c r="C21" s="52" t="str">
        <f t="shared" si="0"/>
        <v>Construção e Manutenção de Estações e Redes de Distribuição de Energia Elétrica-AC</v>
      </c>
      <c r="E21" s="55">
        <v>5.2900000000000003E-2</v>
      </c>
      <c r="F21" s="55">
        <v>5.9200000000000003E-2</v>
      </c>
      <c r="G21" s="55">
        <v>7.9299999999999995E-2</v>
      </c>
      <c r="I21" s="317" t="str">
        <f>IF($I$11=$A$59,"","Despesas Financeiras")</f>
        <v>Despesas Financeiras</v>
      </c>
      <c r="J21" s="317"/>
      <c r="K21" s="317"/>
      <c r="L21" s="317"/>
      <c r="M21" s="60" t="str">
        <f>IF($I$11=$A$59,"","DF")</f>
        <v>DF</v>
      </c>
      <c r="N21" s="61">
        <v>1.23E-2</v>
      </c>
      <c r="O21" s="62" t="s">
        <v>46</v>
      </c>
      <c r="P21" s="63">
        <f>VLOOKUP(CONCATENATE(I$11,"-",M21),$C$2:$G$49,3,FALSE)</f>
        <v>5.8999999999999999E-3</v>
      </c>
      <c r="Q21" s="63">
        <f>VLOOKUP(CONCATENATE(I$11,"-",M21),$C$2:$G$49,4,FALSE)</f>
        <v>1.23E-2</v>
      </c>
      <c r="R21" s="63">
        <f>VLOOKUP(CONCATENATE(I$11,"-",M21),$C$2:$G$49,5,FALSE)</f>
        <v>1.3899999999999999E-2</v>
      </c>
      <c r="T21" s="329"/>
      <c r="U21" s="329"/>
    </row>
    <row r="22" spans="1:31" ht="26.25" customHeight="1" x14ac:dyDescent="0.2">
      <c r="A22" s="52" t="str">
        <f>A21</f>
        <v>Construção e Manutenção de Estações e Redes de Distribuição de Energia Elétrica</v>
      </c>
      <c r="B22" s="54" t="s">
        <v>30</v>
      </c>
      <c r="C22" s="52" t="str">
        <f t="shared" si="0"/>
        <v>Construção e Manutenção de Estações e Redes de Distribuição de Energia Elétrica-SG</v>
      </c>
      <c r="E22" s="55">
        <v>2.5000000000000001E-3</v>
      </c>
      <c r="F22" s="55">
        <v>5.1000000000000004E-3</v>
      </c>
      <c r="G22" s="55">
        <v>5.6000000000000008E-3</v>
      </c>
      <c r="I22" s="317" t="str">
        <f>IF($I$11=$A$59,"Margem bruta da empresa de consultoria","Lucro")</f>
        <v>Lucro</v>
      </c>
      <c r="J22" s="317"/>
      <c r="K22" s="317"/>
      <c r="L22" s="317"/>
      <c r="M22" s="60" t="str">
        <f>IF($I$11=$A$59,"K3","L")</f>
        <v>L</v>
      </c>
      <c r="N22" s="61">
        <v>7.400000000000001E-2</v>
      </c>
      <c r="O22" s="62" t="s">
        <v>46</v>
      </c>
      <c r="P22" s="63">
        <f>VLOOKUP(CONCATENATE(I$11,"-",M22),$C$2:$G$49,3,FALSE)</f>
        <v>6.1600000000000002E-2</v>
      </c>
      <c r="Q22" s="63">
        <f>VLOOKUP(CONCATENATE(I$11,"-",M22),$C$2:$G$49,4,FALSE)</f>
        <v>7.400000000000001E-2</v>
      </c>
      <c r="R22" s="63">
        <f>VLOOKUP(CONCATENATE(I$11,"-",M22),$C$2:$G$49,5,FALSE)</f>
        <v>8.9600000000000013E-2</v>
      </c>
      <c r="T22" s="329"/>
      <c r="U22" s="329"/>
    </row>
    <row r="23" spans="1:31" ht="26.25" customHeight="1" x14ac:dyDescent="0.2">
      <c r="A23" s="52" t="str">
        <f>A22</f>
        <v>Construção e Manutenção de Estações e Redes de Distribuição de Energia Elétrica</v>
      </c>
      <c r="B23" s="54" t="s">
        <v>31</v>
      </c>
      <c r="C23" s="52" t="str">
        <f t="shared" si="0"/>
        <v>Construção e Manutenção de Estações e Redes de Distribuição de Energia Elétrica-R</v>
      </c>
      <c r="E23" s="55">
        <v>0.01</v>
      </c>
      <c r="F23" s="55">
        <v>1.4800000000000001E-2</v>
      </c>
      <c r="G23" s="55">
        <v>1.9699999999999999E-2</v>
      </c>
      <c r="I23" s="331" t="s">
        <v>48</v>
      </c>
      <c r="J23" s="331"/>
      <c r="K23" s="331"/>
      <c r="L23" s="331"/>
      <c r="M23" s="60" t="s">
        <v>49</v>
      </c>
      <c r="N23" s="61">
        <v>3.6499999999999998E-2</v>
      </c>
      <c r="O23" s="62" t="s">
        <v>46</v>
      </c>
      <c r="P23" s="63">
        <v>3.6499999999999998E-2</v>
      </c>
      <c r="Q23" s="63">
        <v>3.6499999999999998E-2</v>
      </c>
      <c r="R23" s="63">
        <v>3.6499999999999998E-2</v>
      </c>
      <c r="T23" s="329"/>
      <c r="U23" s="329"/>
    </row>
    <row r="24" spans="1:31" ht="26.25" customHeight="1" x14ac:dyDescent="0.2">
      <c r="A24" s="52" t="str">
        <f>A23</f>
        <v>Construção e Manutenção de Estações e Redes de Distribuição de Energia Elétrica</v>
      </c>
      <c r="B24" s="54" t="s">
        <v>32</v>
      </c>
      <c r="C24" s="52" t="str">
        <f t="shared" si="0"/>
        <v>Construção e Manutenção de Estações e Redes de Distribuição de Energia Elétrica-DF</v>
      </c>
      <c r="E24" s="55">
        <v>1.01E-2</v>
      </c>
      <c r="F24" s="55">
        <v>1.0700000000000001E-2</v>
      </c>
      <c r="G24" s="55">
        <v>1.11E-2</v>
      </c>
      <c r="I24" s="317" t="s">
        <v>50</v>
      </c>
      <c r="J24" s="317"/>
      <c r="K24" s="317"/>
      <c r="L24" s="317"/>
      <c r="M24" s="60" t="s">
        <v>51</v>
      </c>
      <c r="N24" s="63">
        <f>IF($I$11&lt;&gt;$A$58,Q14*Q13,0)</f>
        <v>1.4999999999999999E-2</v>
      </c>
      <c r="O24" s="62" t="s">
        <v>46</v>
      </c>
      <c r="P24" s="63">
        <v>0</v>
      </c>
      <c r="Q24" s="63">
        <v>2.5000000000000001E-2</v>
      </c>
      <c r="R24" s="63">
        <v>0.05</v>
      </c>
      <c r="T24" s="329"/>
      <c r="U24" s="329"/>
    </row>
    <row r="25" spans="1:31" ht="26.25" customHeight="1" x14ac:dyDescent="0.2">
      <c r="A25" s="52" t="str">
        <f>A24</f>
        <v>Construção e Manutenção de Estações e Redes de Distribuição de Energia Elétrica</v>
      </c>
      <c r="B25" s="54" t="s">
        <v>164</v>
      </c>
      <c r="C25" s="52" t="str">
        <f t="shared" si="0"/>
        <v>Construção e Manutenção de Estações e Redes de Distribuição de Energia Elétrica-L</v>
      </c>
      <c r="E25" s="55">
        <v>0.08</v>
      </c>
      <c r="F25" s="55">
        <v>8.3100000000000007E-2</v>
      </c>
      <c r="G25" s="55">
        <v>9.5100000000000004E-2</v>
      </c>
      <c r="I25" s="317" t="s">
        <v>116</v>
      </c>
      <c r="J25" s="317"/>
      <c r="K25" s="317"/>
      <c r="L25" s="317"/>
      <c r="M25" s="60" t="s">
        <v>52</v>
      </c>
      <c r="N25" s="63">
        <f>IF(AND($I$11&lt;&gt;$A$58,Q11="Sim"),4.5%,0%)</f>
        <v>4.4999999999999998E-2</v>
      </c>
      <c r="O25" s="62" t="str">
        <f>IF(AND(N25&gt;=P25, N25&lt;=R25), "OK", "Não OK")</f>
        <v>OK</v>
      </c>
      <c r="P25" s="64">
        <v>0</v>
      </c>
      <c r="Q25" s="64">
        <v>4.4999999999999998E-2</v>
      </c>
      <c r="R25" s="64">
        <v>4.4999999999999998E-2</v>
      </c>
    </row>
    <row r="26" spans="1:31" ht="30.75" customHeight="1" x14ac:dyDescent="0.25">
      <c r="A26" s="52" t="str">
        <f>A25</f>
        <v>Construção e Manutenção de Estações e Redes de Distribuição de Energia Elétrica</v>
      </c>
      <c r="B26" s="59" t="s">
        <v>33</v>
      </c>
      <c r="C26" s="52" t="str">
        <f t="shared" si="0"/>
        <v>Construção e Manutenção de Estações e Redes de Distribuição de Energia Elétrica-BDI PAD</v>
      </c>
      <c r="E26" s="55">
        <v>0.24</v>
      </c>
      <c r="F26" s="55">
        <v>0.25840000000000002</v>
      </c>
      <c r="G26" s="55">
        <v>0.27860000000000001</v>
      </c>
      <c r="I26" s="317" t="s">
        <v>53</v>
      </c>
      <c r="J26" s="317"/>
      <c r="K26" s="317"/>
      <c r="L26" s="317"/>
      <c r="M26" s="65" t="s">
        <v>33</v>
      </c>
      <c r="N26" s="63">
        <f>IF($I$11=$A$58,0,ROUND((((1+N18+N19+N20)*(1+N21)*(1+N22)/(1-(N23+N24)))-1),4))</f>
        <v>0.21579999999999999</v>
      </c>
      <c r="O26" s="106" t="str">
        <f>IF(OR($I$11=$A$59,$I$11=$A$58,AND(N26&gt;=P26, N26&lt;=R26)), "OK", "FORA DO INTERVALO")</f>
        <v>OK</v>
      </c>
      <c r="P26" s="63">
        <f>IF($I$11=$A$58,0,VLOOKUP(CONCATENATE($I$11,"-",$M26),$C$2:$G$49,3,FALSE))</f>
        <v>0.2034</v>
      </c>
      <c r="Q26" s="63">
        <f>IF($I$11=$A$58,0,VLOOKUP(CONCATENATE($I$11,"-",$M26),$C$2:$G$49,4,FALSE))</f>
        <v>0.22120000000000001</v>
      </c>
      <c r="R26" s="63">
        <f>IF($I$11=$A$58,0,VLOOKUP(CONCATENATE($I$11,"-",$M26),$C$2:$G$49,5,FALSE))</f>
        <v>0.25</v>
      </c>
      <c r="T26" s="107"/>
      <c r="V26" s="108"/>
      <c r="W26" s="108"/>
      <c r="X26" s="108"/>
      <c r="Y26" s="108"/>
      <c r="Z26" s="108"/>
      <c r="AA26" s="108"/>
      <c r="AB26" s="108"/>
      <c r="AC26" s="108"/>
      <c r="AD26" s="108"/>
      <c r="AE26" s="108"/>
    </row>
    <row r="27" spans="1:31" ht="30" customHeight="1" x14ac:dyDescent="0.25">
      <c r="A27" s="52" t="s">
        <v>54</v>
      </c>
      <c r="B27" s="54" t="s">
        <v>29</v>
      </c>
      <c r="C27" s="52" t="str">
        <f t="shared" si="0"/>
        <v>Obras Portuárias, Marítimas e Fluviais-AC</v>
      </c>
      <c r="E27" s="55">
        <v>0.04</v>
      </c>
      <c r="F27" s="55">
        <v>5.5199999999999999E-2</v>
      </c>
      <c r="G27" s="55">
        <v>7.85E-2</v>
      </c>
      <c r="I27" s="318" t="s">
        <v>55</v>
      </c>
      <c r="J27" s="318"/>
      <c r="K27" s="318"/>
      <c r="L27" s="318"/>
      <c r="M27" s="66" t="s">
        <v>56</v>
      </c>
      <c r="N27" s="67">
        <f>IF($I$11=$A$58,0,ROUND((((1+N18+N19+N20)*(1+N21)*(1+N22)/(1-(N23+N24+N25)))-1),4))</f>
        <v>0.27639999999999998</v>
      </c>
      <c r="O27" s="110" t="str">
        <f>IF(Q11&lt;&gt;"Sim","",O26)</f>
        <v>OK</v>
      </c>
      <c r="P27" s="319"/>
      <c r="Q27" s="319"/>
      <c r="R27" s="319"/>
      <c r="T27" s="107"/>
      <c r="V27" s="111" t="b">
        <f>AND(COUNTA(N18:N23)=6,O26&lt;&gt;"ok",NOT(V29))</f>
        <v>0</v>
      </c>
      <c r="W27" s="52" t="s">
        <v>118</v>
      </c>
    </row>
    <row r="28" spans="1:31" ht="7.5" customHeight="1" x14ac:dyDescent="0.2">
      <c r="A28" s="52" t="str">
        <f>A27</f>
        <v>Obras Portuárias, Marítimas e Fluviais</v>
      </c>
      <c r="B28" s="54" t="s">
        <v>30</v>
      </c>
      <c r="C28" s="52" t="str">
        <f t="shared" si="0"/>
        <v>Obras Portuárias, Marítimas e Fluviais-SG</v>
      </c>
      <c r="E28" s="55">
        <v>8.1000000000000013E-3</v>
      </c>
      <c r="F28" s="55">
        <v>1.2199999999999999E-2</v>
      </c>
      <c r="G28" s="55">
        <v>1.9900000000000001E-2</v>
      </c>
      <c r="V28" s="111"/>
    </row>
    <row r="29" spans="1:31" ht="21.75" customHeight="1" x14ac:dyDescent="0.2">
      <c r="A29" s="52" t="str">
        <f>A28</f>
        <v>Obras Portuárias, Marítimas e Fluviais</v>
      </c>
      <c r="B29" s="54" t="s">
        <v>31</v>
      </c>
      <c r="C29" s="52" t="str">
        <f t="shared" si="0"/>
        <v>Obras Portuárias, Marítimas e Fluviais-R</v>
      </c>
      <c r="E29" s="55">
        <v>1.46E-2</v>
      </c>
      <c r="F29" s="55">
        <v>2.3199999999999998E-2</v>
      </c>
      <c r="G29" s="55">
        <v>3.1600000000000003E-2</v>
      </c>
      <c r="I29" s="109" t="str">
        <f>IF(V29,"X","")</f>
        <v/>
      </c>
      <c r="J29" s="316" t="s">
        <v>117</v>
      </c>
      <c r="K29" s="316"/>
      <c r="L29" s="316"/>
      <c r="M29" s="316"/>
      <c r="N29" s="316"/>
      <c r="O29" s="316"/>
      <c r="P29" s="316"/>
      <c r="Q29" s="316"/>
      <c r="R29" s="316"/>
      <c r="V29" s="111" t="b">
        <v>0</v>
      </c>
      <c r="W29" s="52" t="s">
        <v>119</v>
      </c>
    </row>
    <row r="30" spans="1:31" ht="7.5" customHeight="1" x14ac:dyDescent="0.2">
      <c r="B30" s="54"/>
      <c r="E30" s="55"/>
      <c r="F30" s="55"/>
      <c r="G30" s="55"/>
      <c r="V30" s="111"/>
    </row>
    <row r="31" spans="1:31" ht="18.75" customHeight="1" x14ac:dyDescent="0.2">
      <c r="B31" s="54"/>
      <c r="E31" s="55"/>
      <c r="F31" s="55"/>
      <c r="G31" s="55"/>
      <c r="I31" s="321" t="s">
        <v>61</v>
      </c>
      <c r="J31" s="321"/>
      <c r="K31" s="321"/>
      <c r="L31" s="321"/>
      <c r="M31" s="321"/>
      <c r="N31" s="321"/>
      <c r="O31" s="321"/>
      <c r="P31" s="321"/>
      <c r="Q31" s="321"/>
      <c r="R31" s="321"/>
    </row>
    <row r="32" spans="1:31" ht="30" customHeight="1" x14ac:dyDescent="0.25">
      <c r="A32" s="52" t="str">
        <f>A29</f>
        <v>Obras Portuárias, Marítimas e Fluviais</v>
      </c>
      <c r="B32" s="54" t="s">
        <v>32</v>
      </c>
      <c r="C32" s="52" t="str">
        <f t="shared" si="0"/>
        <v>Obras Portuárias, Marítimas e Fluviais-DF</v>
      </c>
      <c r="E32" s="55">
        <v>9.3999999999999986E-3</v>
      </c>
      <c r="F32" s="55">
        <v>1.0200000000000001E-2</v>
      </c>
      <c r="G32" s="55">
        <v>1.3300000000000001E-2</v>
      </c>
      <c r="I32" s="100"/>
      <c r="J32" s="100"/>
      <c r="K32" s="100"/>
      <c r="L32" s="337" t="str">
        <f>IF(Q11="Sim","BDI.DES =","BDI.PAD =")</f>
        <v>BDI.DES =</v>
      </c>
      <c r="M32" s="335" t="str">
        <f>IF($I$11=$A$59,"(1+K1+K2)*(1+K3)","(1+AC + S + R + G)*(1 + DF)*(1+L)")</f>
        <v>(1+AC + S + R + G)*(1 + DF)*(1+L)</v>
      </c>
      <c r="N32" s="335"/>
      <c r="O32" s="335"/>
      <c r="P32" s="333" t="s">
        <v>108</v>
      </c>
      <c r="Q32" s="100"/>
      <c r="R32" s="100"/>
    </row>
    <row r="33" spans="1:18" ht="27" customHeight="1" x14ac:dyDescent="0.2">
      <c r="A33" s="52" t="str">
        <f>A32</f>
        <v>Obras Portuárias, Marítimas e Fluviais</v>
      </c>
      <c r="B33" s="54" t="s">
        <v>164</v>
      </c>
      <c r="C33" s="52" t="str">
        <f t="shared" si="0"/>
        <v>Obras Portuárias, Marítimas e Fluviais-L</v>
      </c>
      <c r="E33" s="55">
        <v>7.1399999999999991E-2</v>
      </c>
      <c r="F33" s="55">
        <v>8.4000000000000005E-2</v>
      </c>
      <c r="G33" s="55">
        <v>0.1043</v>
      </c>
      <c r="I33" s="100"/>
      <c r="J33" s="100"/>
      <c r="K33" s="100"/>
      <c r="L33" s="337"/>
      <c r="M33" s="336" t="str">
        <f>IF(Q11="Sim","(1-CP-ISS-CRPB)","(1-CP-ISS)")</f>
        <v>(1-CP-ISS-CRPB)</v>
      </c>
      <c r="N33" s="336"/>
      <c r="O33" s="336"/>
      <c r="P33" s="334"/>
      <c r="Q33" s="100"/>
      <c r="R33" s="100"/>
    </row>
    <row r="34" spans="1:18" ht="7.5" customHeight="1" x14ac:dyDescent="0.2">
      <c r="A34" s="52" t="str">
        <f>A33</f>
        <v>Obras Portuárias, Marítimas e Fluviais</v>
      </c>
      <c r="B34" s="59" t="s">
        <v>33</v>
      </c>
      <c r="C34" s="52" t="str">
        <f t="shared" si="0"/>
        <v>Obras Portuárias, Marítimas e Fluviais-BDI PAD</v>
      </c>
      <c r="E34" s="55">
        <v>0.22800000000000001</v>
      </c>
      <c r="F34" s="55">
        <v>0.27479999999999999</v>
      </c>
      <c r="G34" s="55">
        <v>0.3095</v>
      </c>
      <c r="I34" s="73"/>
      <c r="J34" s="73"/>
      <c r="K34" s="73"/>
      <c r="L34" s="73"/>
      <c r="M34" s="73"/>
      <c r="N34" s="73"/>
      <c r="O34" s="73"/>
      <c r="P34" s="73"/>
      <c r="Q34" s="73"/>
      <c r="R34" s="73"/>
    </row>
    <row r="35" spans="1:18" ht="45" customHeight="1" x14ac:dyDescent="0.2">
      <c r="B35" s="59"/>
      <c r="E35" s="55"/>
      <c r="F35" s="55"/>
      <c r="G35" s="55"/>
      <c r="I35" s="322"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e Reforma de Edifícios, é de 50%, com a respectiva alíquota de 3%.</v>
      </c>
      <c r="J35" s="322"/>
      <c r="K35" s="322"/>
      <c r="L35" s="322"/>
      <c r="M35" s="322"/>
      <c r="N35" s="322"/>
      <c r="O35" s="322"/>
      <c r="P35" s="322"/>
      <c r="Q35" s="322"/>
      <c r="R35" s="322"/>
    </row>
    <row r="36" spans="1:18" ht="11.25" customHeight="1" x14ac:dyDescent="0.2">
      <c r="B36" s="59"/>
      <c r="E36" s="55"/>
      <c r="F36" s="55"/>
      <c r="G36" s="55"/>
    </row>
    <row r="37" spans="1:18" ht="52.5" customHeight="1" x14ac:dyDescent="0.2">
      <c r="B37" s="59"/>
      <c r="E37" s="55"/>
      <c r="F37" s="55"/>
      <c r="G37" s="55"/>
      <c r="I37" s="322"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J37" s="322"/>
      <c r="K37" s="322"/>
      <c r="L37" s="322"/>
      <c r="M37" s="322"/>
      <c r="N37" s="322"/>
      <c r="O37" s="322"/>
      <c r="P37" s="322"/>
      <c r="Q37" s="322"/>
      <c r="R37" s="322"/>
    </row>
    <row r="38" spans="1:18" ht="18" customHeight="1" x14ac:dyDescent="0.2">
      <c r="A38" s="52" t="s">
        <v>137</v>
      </c>
      <c r="B38" s="54" t="s">
        <v>29</v>
      </c>
      <c r="C38" s="52" t="str">
        <f t="shared" si="0"/>
        <v>Fornecimento de Materiais e Equipamentos (aquisição indireta - em conjunto com licitação de obras)-AC</v>
      </c>
      <c r="E38" s="55">
        <v>1.4999999999999999E-2</v>
      </c>
      <c r="F38" s="55">
        <v>3.4500000000000003E-2</v>
      </c>
      <c r="G38" s="55">
        <v>4.4900000000000002E-2</v>
      </c>
    </row>
    <row r="39" spans="1:18" x14ac:dyDescent="0.2">
      <c r="A39" s="52" t="str">
        <f>A38</f>
        <v>Fornecimento de Materiais e Equipamentos (aquisição indireta - em conjunto com licitação de obras)</v>
      </c>
      <c r="B39" s="54" t="s">
        <v>30</v>
      </c>
      <c r="C39" s="52" t="str">
        <f t="shared" si="0"/>
        <v>Fornecimento de Materiais e Equipamentos (aquisição indireta - em conjunto com licitação de obras)-SG</v>
      </c>
      <c r="E39" s="55">
        <v>3.0000000000000001E-3</v>
      </c>
      <c r="F39" s="55">
        <v>4.7999999999999996E-3</v>
      </c>
      <c r="G39" s="55">
        <v>8.199999999999999E-3</v>
      </c>
      <c r="I39" s="52" t="s">
        <v>21</v>
      </c>
    </row>
    <row r="40" spans="1:18" ht="42.75" customHeight="1" x14ac:dyDescent="0.2">
      <c r="A40" s="52" t="str">
        <f>A39</f>
        <v>Fornecimento de Materiais e Equipamentos (aquisição indireta - em conjunto com licitação de obras)</v>
      </c>
      <c r="B40" s="54" t="s">
        <v>31</v>
      </c>
      <c r="C40" s="52" t="str">
        <f t="shared" si="0"/>
        <v>Fornecimento de Materiais e Equipamentos (aquisição indireta - em conjunto com licitação de obras)-R</v>
      </c>
      <c r="E40" s="55">
        <v>5.6000000000000008E-3</v>
      </c>
      <c r="F40" s="55">
        <v>8.5000000000000006E-3</v>
      </c>
      <c r="G40" s="55">
        <v>8.8999999999999999E-3</v>
      </c>
      <c r="I40" s="324"/>
      <c r="J40" s="325"/>
      <c r="K40" s="325"/>
      <c r="L40" s="325"/>
      <c r="M40" s="325"/>
      <c r="N40" s="325"/>
      <c r="O40" s="325"/>
      <c r="P40" s="325"/>
      <c r="Q40" s="325"/>
      <c r="R40" s="326"/>
    </row>
    <row r="41" spans="1:18" ht="16.5" customHeight="1" x14ac:dyDescent="0.2">
      <c r="A41" s="52" t="str">
        <f>A40</f>
        <v>Fornecimento de Materiais e Equipamentos (aquisição indireta - em conjunto com licitação de obras)</v>
      </c>
      <c r="B41" s="54" t="s">
        <v>32</v>
      </c>
      <c r="C41" s="52" t="str">
        <f t="shared" si="0"/>
        <v>Fornecimento de Materiais e Equipamentos (aquisição indireta - em conjunto com licitação de obras)-DF</v>
      </c>
      <c r="E41" s="55">
        <v>8.5000000000000006E-3</v>
      </c>
      <c r="F41" s="55">
        <v>8.5000000000000006E-3</v>
      </c>
      <c r="G41" s="55">
        <v>1.11E-2</v>
      </c>
    </row>
    <row r="42" spans="1:18" x14ac:dyDescent="0.2">
      <c r="A42" s="52" t="str">
        <f>A41</f>
        <v>Fornecimento de Materiais e Equipamentos (aquisição indireta - em conjunto com licitação de obras)</v>
      </c>
      <c r="B42" s="54" t="s">
        <v>164</v>
      </c>
      <c r="C42" s="52" t="str">
        <f t="shared" si="0"/>
        <v>Fornecimento de Materiais e Equipamentos (aquisição indireta - em conjunto com licitação de obras)-L</v>
      </c>
      <c r="E42" s="55">
        <v>3.5000000000000003E-2</v>
      </c>
      <c r="F42" s="55">
        <v>5.1100000000000007E-2</v>
      </c>
      <c r="G42" s="55">
        <v>6.2199999999999998E-2</v>
      </c>
      <c r="I42" s="330" t="str">
        <f>PO!K238</f>
        <v>Presidente Olegário / MG</v>
      </c>
      <c r="J42" s="330"/>
      <c r="K42" s="330"/>
      <c r="L42" s="330"/>
      <c r="O42" s="323">
        <f ca="1">PO!K241</f>
        <v>44770</v>
      </c>
      <c r="P42" s="323"/>
      <c r="Q42" s="323"/>
      <c r="R42" s="323"/>
    </row>
    <row r="43" spans="1:18" ht="15" customHeight="1" x14ac:dyDescent="0.2">
      <c r="A43" s="52" t="str">
        <f>A42</f>
        <v>Fornecimento de Materiais e Equipamentos (aquisição indireta - em conjunto com licitação de obras)</v>
      </c>
      <c r="B43" s="59" t="s">
        <v>33</v>
      </c>
      <c r="C43" s="52" t="str">
        <f t="shared" si="0"/>
        <v>Fornecimento de Materiais e Equipamentos (aquisição indireta - em conjunto com licitação de obras)-BDI PAD</v>
      </c>
      <c r="E43" s="55">
        <v>0.111</v>
      </c>
      <c r="F43" s="55">
        <v>0.14019999999999999</v>
      </c>
      <c r="G43" s="55">
        <v>0.16800000000000001</v>
      </c>
      <c r="I43" s="349" t="s">
        <v>120</v>
      </c>
      <c r="J43" s="349"/>
      <c r="K43" s="349"/>
      <c r="L43" s="349"/>
      <c r="N43" s="68"/>
      <c r="O43" s="144" t="s">
        <v>121</v>
      </c>
      <c r="P43" s="145"/>
      <c r="Q43" s="145"/>
      <c r="R43" s="145"/>
    </row>
    <row r="44" spans="1:18" x14ac:dyDescent="0.2">
      <c r="A44" s="52" t="s">
        <v>59</v>
      </c>
      <c r="B44" s="54" t="s">
        <v>104</v>
      </c>
      <c r="C44" s="52" t="str">
        <f t="shared" si="0"/>
        <v>Estudos e Projetos, Planos e Gerenciamento e outros correlatos-K1</v>
      </c>
      <c r="E44" s="55" t="s">
        <v>46</v>
      </c>
      <c r="F44" s="55" t="s">
        <v>46</v>
      </c>
      <c r="G44" s="55" t="s">
        <v>46</v>
      </c>
    </row>
    <row r="45" spans="1:18" ht="30" customHeight="1" x14ac:dyDescent="0.2">
      <c r="A45" s="52" t="str">
        <f>A44</f>
        <v>Estudos e Projetos, Planos e Gerenciamento e outros correlatos</v>
      </c>
      <c r="B45" s="54" t="s">
        <v>105</v>
      </c>
      <c r="C45" s="52" t="str">
        <f t="shared" si="0"/>
        <v>Estudos e Projetos, Planos e Gerenciamento e outros correlatos-K2</v>
      </c>
      <c r="E45" s="55" t="s">
        <v>46</v>
      </c>
      <c r="F45" s="55">
        <v>0.2</v>
      </c>
      <c r="G45" s="55" t="s">
        <v>46</v>
      </c>
      <c r="I45" s="320"/>
      <c r="J45" s="320"/>
      <c r="K45" s="320"/>
      <c r="L45" s="320"/>
      <c r="M45" s="69"/>
      <c r="N45" s="69"/>
      <c r="O45" s="320"/>
      <c r="P45" s="320"/>
      <c r="Q45" s="320"/>
      <c r="R45" s="320"/>
    </row>
    <row r="46" spans="1:18" x14ac:dyDescent="0.2">
      <c r="A46" s="52" t="str">
        <f>A45</f>
        <v>Estudos e Projetos, Planos e Gerenciamento e outros correlatos</v>
      </c>
      <c r="B46" s="54" t="s">
        <v>106</v>
      </c>
      <c r="C46" s="52" t="str">
        <f t="shared" si="0"/>
        <v>Estudos e Projetos, Planos e Gerenciamento e outros correlatos-</v>
      </c>
      <c r="E46" s="55" t="s">
        <v>46</v>
      </c>
      <c r="F46" s="55" t="s">
        <v>46</v>
      </c>
      <c r="G46" s="55" t="s">
        <v>46</v>
      </c>
      <c r="I46" s="327" t="s">
        <v>57</v>
      </c>
      <c r="J46" s="327"/>
      <c r="K46" s="327"/>
      <c r="L46" s="327"/>
      <c r="M46" s="70"/>
      <c r="N46" s="70"/>
      <c r="O46" s="327" t="s">
        <v>58</v>
      </c>
      <c r="P46" s="327"/>
      <c r="Q46" s="327"/>
      <c r="R46" s="327"/>
    </row>
    <row r="47" spans="1:18" ht="14.25" x14ac:dyDescent="0.2">
      <c r="A47" s="52" t="str">
        <f>A46</f>
        <v>Estudos e Projetos, Planos e Gerenciamento e outros correlatos</v>
      </c>
      <c r="B47" s="54" t="s">
        <v>106</v>
      </c>
      <c r="C47" s="52" t="str">
        <f t="shared" si="0"/>
        <v>Estudos e Projetos, Planos e Gerenciamento e outros correlatos-</v>
      </c>
      <c r="E47" s="55" t="s">
        <v>46</v>
      </c>
      <c r="F47" s="55" t="s">
        <v>46</v>
      </c>
      <c r="G47" s="55" t="s">
        <v>46</v>
      </c>
      <c r="I47" s="29" t="s">
        <v>140</v>
      </c>
      <c r="J47" s="315">
        <f>DADOS!B54</f>
        <v>0</v>
      </c>
      <c r="K47" s="315"/>
      <c r="L47" s="315"/>
      <c r="M47" s="71"/>
      <c r="N47" s="71"/>
      <c r="O47" s="29" t="s">
        <v>140</v>
      </c>
      <c r="P47" s="328" t="s">
        <v>240</v>
      </c>
      <c r="Q47" s="328"/>
      <c r="R47" s="328"/>
    </row>
    <row r="48" spans="1:18" ht="14.25" x14ac:dyDescent="0.2">
      <c r="A48" s="52" t="str">
        <f>A47</f>
        <v>Estudos e Projetos, Planos e Gerenciamento e outros correlatos</v>
      </c>
      <c r="B48" s="54" t="s">
        <v>107</v>
      </c>
      <c r="C48" s="52" t="str">
        <f t="shared" si="0"/>
        <v>Estudos e Projetos, Planos e Gerenciamento e outros correlatos-K3</v>
      </c>
      <c r="E48" s="55" t="s">
        <v>46</v>
      </c>
      <c r="F48" s="55">
        <v>0.12</v>
      </c>
      <c r="G48" s="55" t="s">
        <v>46</v>
      </c>
      <c r="I48" s="29" t="s">
        <v>17</v>
      </c>
      <c r="J48" s="315">
        <f>DADOS!B55</f>
        <v>0</v>
      </c>
      <c r="K48" s="315"/>
      <c r="L48" s="315"/>
      <c r="M48" s="71"/>
      <c r="N48" s="71"/>
      <c r="O48" s="29" t="s">
        <v>60</v>
      </c>
      <c r="P48" s="328" t="s">
        <v>241</v>
      </c>
      <c r="Q48" s="328"/>
      <c r="R48" s="328"/>
    </row>
    <row r="49" spans="1:18" ht="14.25" x14ac:dyDescent="0.2">
      <c r="A49" s="52" t="str">
        <f>A48</f>
        <v>Estudos e Projetos, Planos e Gerenciamento e outros correlatos</v>
      </c>
      <c r="B49" s="59" t="s">
        <v>33</v>
      </c>
      <c r="C49" s="52" t="str">
        <f t="shared" si="0"/>
        <v>Estudos e Projetos, Planos e Gerenciamento e outros correlatos-BDI PAD</v>
      </c>
      <c r="E49" s="55" t="s">
        <v>46</v>
      </c>
      <c r="F49" s="55" t="s">
        <v>46</v>
      </c>
      <c r="G49" s="55" t="s">
        <v>46</v>
      </c>
      <c r="I49" s="29" t="str">
        <f>DADOS!A56</f>
        <v>Empresa:</v>
      </c>
      <c r="J49" s="315">
        <f>DADOS!B56</f>
        <v>0</v>
      </c>
      <c r="K49" s="315"/>
      <c r="L49" s="315"/>
      <c r="M49" s="71"/>
      <c r="N49" s="71"/>
      <c r="O49" s="71"/>
      <c r="P49" s="71"/>
      <c r="Q49" s="71"/>
      <c r="R49" s="71"/>
    </row>
    <row r="50" spans="1:18" x14ac:dyDescent="0.2">
      <c r="I50" s="29" t="str">
        <f>DADOS!A57</f>
        <v>CNPJ:</v>
      </c>
      <c r="J50" s="315">
        <f>DADOS!B57</f>
        <v>0</v>
      </c>
      <c r="K50" s="315"/>
      <c r="L50" s="315"/>
    </row>
    <row r="51" spans="1:18" x14ac:dyDescent="0.2"/>
    <row r="52" spans="1:18" hidden="1" x14ac:dyDescent="0.2">
      <c r="A52" s="52" t="s">
        <v>28</v>
      </c>
    </row>
    <row r="53" spans="1:18" hidden="1" x14ac:dyDescent="0.2">
      <c r="A53" s="52" t="s">
        <v>34</v>
      </c>
    </row>
    <row r="54" spans="1:18" hidden="1" x14ac:dyDescent="0.2">
      <c r="A54" s="52" t="s">
        <v>37</v>
      </c>
    </row>
    <row r="55" spans="1:18" hidden="1" x14ac:dyDescent="0.2">
      <c r="A55" s="52" t="s">
        <v>47</v>
      </c>
    </row>
    <row r="56" spans="1:18" hidden="1" x14ac:dyDescent="0.2">
      <c r="A56" s="52" t="s">
        <v>54</v>
      </c>
    </row>
    <row r="57" spans="1:18" hidden="1" x14ac:dyDescent="0.2">
      <c r="A57" s="52" t="s">
        <v>137</v>
      </c>
    </row>
    <row r="58" spans="1:18" hidden="1" x14ac:dyDescent="0.2">
      <c r="A58" s="52" t="s">
        <v>138</v>
      </c>
    </row>
    <row r="59" spans="1:18" hidden="1" x14ac:dyDescent="0.2">
      <c r="A59" s="52" t="s">
        <v>59</v>
      </c>
    </row>
    <row r="60" spans="1:18" ht="14.25" hidden="1" x14ac:dyDescent="0.2">
      <c r="A60" s="72"/>
      <c r="B60" s="71"/>
      <c r="C60" s="71"/>
      <c r="D60" s="71"/>
      <c r="E60" s="71"/>
      <c r="F60" s="71"/>
      <c r="G60" s="71"/>
    </row>
  </sheetData>
  <sheetProtection password="C95B" sheet="1" objects="1" scenarios="1"/>
  <mergeCells count="55">
    <mergeCell ref="P48:R48"/>
    <mergeCell ref="I45:L45"/>
    <mergeCell ref="I43:L43"/>
    <mergeCell ref="Q13:R13"/>
    <mergeCell ref="I14:P14"/>
    <mergeCell ref="Q14:R14"/>
    <mergeCell ref="M16:M17"/>
    <mergeCell ref="I13:P13"/>
    <mergeCell ref="P16:P17"/>
    <mergeCell ref="Q16:Q17"/>
    <mergeCell ref="N16:N17"/>
    <mergeCell ref="I16:L17"/>
    <mergeCell ref="O16:O17"/>
    <mergeCell ref="I11:P11"/>
    <mergeCell ref="Q11:R11"/>
    <mergeCell ref="I4:J4"/>
    <mergeCell ref="K4:R4"/>
    <mergeCell ref="I5:J5"/>
    <mergeCell ref="K5:R5"/>
    <mergeCell ref="I7:R7"/>
    <mergeCell ref="I8:R8"/>
    <mergeCell ref="I10:P10"/>
    <mergeCell ref="Q10:R10"/>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s>
  <phoneticPr fontId="43" type="noConversion"/>
  <conditionalFormatting sqref="O42">
    <cfRule type="expression" dxfId="324" priority="6" stopIfTrue="1">
      <formula>$O$42=""</formula>
    </cfRule>
  </conditionalFormatting>
  <conditionalFormatting sqref="O18:O27">
    <cfRule type="expression" dxfId="323" priority="11" stopIfTrue="1">
      <formula>AND(O18&lt;&gt;"OK",O18&lt;&gt;"-",O18&lt;&gt;"")</formula>
    </cfRule>
    <cfRule type="cellIs" dxfId="322" priority="12" stopIfTrue="1" operator="equal">
      <formula>"OK"</formula>
    </cfRule>
  </conditionalFormatting>
  <conditionalFormatting sqref="I26:N26">
    <cfRule type="expression" dxfId="321" priority="10" stopIfTrue="1">
      <formula>$Q$11="Não"</formula>
    </cfRule>
  </conditionalFormatting>
  <conditionalFormatting sqref="I27:N27">
    <cfRule type="expression" dxfId="320" priority="9" stopIfTrue="1">
      <formula>$Q$11="sim"</formula>
    </cfRule>
  </conditionalFormatting>
  <conditionalFormatting sqref="P27:R27">
    <cfRule type="expression" dxfId="319" priority="8" stopIfTrue="1">
      <formula>$Q$11="sim"</formula>
    </cfRule>
  </conditionalFormatting>
  <conditionalFormatting sqref="P47:R48">
    <cfRule type="expression" dxfId="318" priority="7" stopIfTrue="1">
      <formula>P47=""</formula>
    </cfRule>
  </conditionalFormatting>
  <conditionalFormatting sqref="I29:R29">
    <cfRule type="expression" dxfId="317" priority="3" stopIfTrue="1">
      <formula>AND(NOT($V$27),NOT($V$29))</formula>
    </cfRule>
  </conditionalFormatting>
  <conditionalFormatting sqref="P18:R26">
    <cfRule type="expression" dxfId="316" priority="2" stopIfTrue="1">
      <formula>$I$11=$A$58</formula>
    </cfRule>
  </conditionalFormatting>
  <dataValidations count="6">
    <dataValidation type="list" allowBlank="1" showInputMessage="1" showErrorMessage="1" sqref="I11:P11" xr:uid="{00000000-0002-0000-0100-000000000000}">
      <formula1>$A$52:$A$59</formula1>
    </dataValidation>
    <dataValidation operator="greaterThanOrEqual" allowBlank="1" showInputMessage="1" showErrorMessage="1" errorTitle="Erro de valores" error="Digite um valor igual a 0% ou 2%." sqref="N25" xr:uid="{00000000-0002-0000-0100-000001000000}"/>
    <dataValidation type="decimal" allowBlank="1" showInputMessage="1" showErrorMessage="1" errorTitle="Erro de valores" error="Digite um valor maior do que 0." sqref="N24" xr:uid="{00000000-0002-0000-0100-000002000000}">
      <formula1>0</formula1>
      <formula2>1</formula2>
    </dataValidation>
    <dataValidation type="decimal" allowBlank="1" showInputMessage="1" showErrorMessage="1" errorTitle="Valor não permitido" error="Digite um percentual entre 0% e 100%." promptTitle="Valores admissíveis:" prompt="Insira valores entre 0 e 100%." sqref="Q13:R13" xr:uid="{00000000-0002-0000-0100-00000300000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xr:uid="{00000000-0002-0000-0100-000004000000}">
      <formula1>0</formula1>
    </dataValidation>
    <dataValidation type="decimal" allowBlank="1" showInputMessage="1" showErrorMessage="1" errorTitle="Erro de valores" error="Digite um valor entre 0% e 100%" sqref="N18:N23" xr:uid="{00000000-0002-0000-0100-000005000000}">
      <formula1>0</formula1>
      <formula2>1</formula2>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1">
    <tabColor rgb="FFFFFF00"/>
    <pageSetUpPr fitToPage="1"/>
  </sheetPr>
  <dimension ref="A1:AA242"/>
  <sheetViews>
    <sheetView showGridLines="0" tabSelected="1" topLeftCell="J1" zoomScale="80" zoomScaleNormal="80" zoomScaleSheetLayoutView="100" workbookViewId="0">
      <pane ySplit="12" topLeftCell="A13" activePane="bottomLeft" state="frozen"/>
      <selection pane="bottomLeft" activeCell="Y13" sqref="Y13:Y226"/>
    </sheetView>
  </sheetViews>
  <sheetFormatPr defaultRowHeight="12.75" x14ac:dyDescent="0.2"/>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105.7109375" customWidth="1"/>
    <col min="15" max="15" width="10.7109375" customWidth="1"/>
    <col min="16" max="17" width="15.7109375" customWidth="1"/>
    <col min="18" max="18" width="10.7109375" hidden="1" customWidth="1"/>
    <col min="19" max="19" width="15.7109375" hidden="1" customWidth="1"/>
    <col min="20"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x14ac:dyDescent="0.2">
      <c r="A1" s="79"/>
      <c r="B1" s="79"/>
      <c r="D1" s="117"/>
      <c r="E1" s="118"/>
      <c r="F1" s="79"/>
      <c r="G1" s="79"/>
      <c r="H1" s="79"/>
      <c r="I1" s="79"/>
      <c r="J1" s="80"/>
      <c r="K1" s="79"/>
      <c r="L1" s="79"/>
      <c r="M1" s="79"/>
      <c r="N1" s="99" t="s">
        <v>167</v>
      </c>
      <c r="O1" s="79"/>
      <c r="P1" s="81"/>
      <c r="Q1" s="79"/>
      <c r="R1" s="79"/>
      <c r="S1" s="79"/>
      <c r="T1" s="77" t="s">
        <v>165</v>
      </c>
      <c r="U1" s="4"/>
      <c r="V1" s="4"/>
      <c r="W1" s="4"/>
      <c r="X1" s="4"/>
      <c r="Y1" s="4"/>
      <c r="Z1" s="4"/>
      <c r="AA1" s="4"/>
    </row>
    <row r="2" spans="1:27" ht="12.75" customHeight="1" x14ac:dyDescent="0.2">
      <c r="A2" s="4"/>
      <c r="B2" s="20" t="s">
        <v>157</v>
      </c>
      <c r="C2" s="20" t="s">
        <v>99</v>
      </c>
      <c r="D2" s="20" t="s">
        <v>100</v>
      </c>
      <c r="E2" s="20" t="s">
        <v>101</v>
      </c>
      <c r="F2" s="20" t="s">
        <v>102</v>
      </c>
      <c r="G2" s="20" t="s">
        <v>103</v>
      </c>
      <c r="H2" s="4"/>
      <c r="I2" s="4"/>
      <c r="J2" s="4"/>
      <c r="K2" s="4"/>
      <c r="L2" s="4"/>
      <c r="M2" s="4"/>
      <c r="N2" s="102"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4"/>
      <c r="P2" s="4"/>
      <c r="Q2" s="4"/>
      <c r="R2" s="4"/>
      <c r="S2" s="4"/>
      <c r="T2" s="78" t="s">
        <v>166</v>
      </c>
      <c r="U2" s="4"/>
      <c r="V2" s="4"/>
      <c r="W2" s="356" t="s">
        <v>181</v>
      </c>
      <c r="X2" s="356"/>
      <c r="Y2" s="4"/>
      <c r="Z2" s="4"/>
      <c r="AA2" s="4"/>
    </row>
    <row r="3" spans="1:27" ht="12.75" customHeight="1" x14ac:dyDescent="0.2">
      <c r="A3" s="4"/>
      <c r="B3" s="4"/>
      <c r="D3" s="117"/>
      <c r="F3" s="5"/>
      <c r="G3" s="4"/>
      <c r="H3" s="4"/>
      <c r="I3" s="4"/>
      <c r="J3" s="4"/>
      <c r="K3" s="4"/>
      <c r="L3" s="4"/>
      <c r="M3" s="4"/>
      <c r="N3" s="131"/>
      <c r="O3" s="4"/>
      <c r="P3" s="4"/>
      <c r="Q3" s="4"/>
      <c r="R3" s="4"/>
      <c r="S3" s="4"/>
      <c r="T3" s="4"/>
      <c r="U3" s="4"/>
      <c r="V3" s="4"/>
      <c r="W3" s="211" t="s">
        <v>148</v>
      </c>
      <c r="X3" s="214" t="b">
        <v>1</v>
      </c>
      <c r="Y3" s="4"/>
      <c r="Z3" s="4"/>
      <c r="AA3" s="4"/>
    </row>
    <row r="4" spans="1:27" ht="24.95" customHeight="1" x14ac:dyDescent="0.2">
      <c r="A4" s="4" t="s">
        <v>126</v>
      </c>
      <c r="B4" s="4"/>
      <c r="D4" s="117"/>
      <c r="F4" s="5"/>
      <c r="G4" s="4"/>
      <c r="H4" s="4"/>
      <c r="I4" s="4"/>
      <c r="J4" s="4"/>
      <c r="K4" s="4"/>
      <c r="L4" s="4"/>
      <c r="M4" s="4"/>
      <c r="N4" s="4"/>
      <c r="O4" s="4"/>
      <c r="P4" s="4"/>
      <c r="Q4" s="4"/>
      <c r="R4" s="4"/>
      <c r="S4" s="4"/>
      <c r="T4" s="4"/>
      <c r="U4" s="153" t="s">
        <v>188</v>
      </c>
      <c r="W4" s="211" t="s">
        <v>182</v>
      </c>
      <c r="X4" s="214" t="b">
        <v>1</v>
      </c>
      <c r="Y4" s="4"/>
      <c r="Z4" s="4"/>
      <c r="AA4" s="4"/>
    </row>
    <row r="5" spans="1:27" ht="24.95" customHeight="1" x14ac:dyDescent="0.2">
      <c r="A5" s="9">
        <f>MAX($A$12:$A$227)</f>
        <v>4</v>
      </c>
      <c r="B5" s="4"/>
      <c r="D5" s="117"/>
      <c r="F5" s="5"/>
      <c r="G5" s="4"/>
      <c r="H5" s="4"/>
      <c r="I5" s="4"/>
      <c r="J5" s="4"/>
      <c r="K5" s="4"/>
      <c r="L5" s="4"/>
      <c r="M5" s="4"/>
      <c r="N5" s="4"/>
      <c r="O5" s="4"/>
      <c r="P5" s="4"/>
      <c r="Q5" s="4"/>
      <c r="R5" s="4"/>
      <c r="S5" s="4"/>
      <c r="T5" s="4"/>
      <c r="U5" s="119" t="str">
        <f ca="1">IF(COUNTIF($U$12:OFFSET($U$227,-1,0),"DESCRIÇÃO")+COUNTIF($U$12:OFFSET($U$227,-1,0),"UNIDADE")+COUNTIF($U$12:OFFSET($U$227,-1,0),"SEM VALOR")&gt;0,"NÃO OK","OK")</f>
        <v>NÃO OK</v>
      </c>
      <c r="V5" s="212" t="s">
        <v>106</v>
      </c>
      <c r="W5" s="211" t="s">
        <v>183</v>
      </c>
      <c r="X5" s="214" t="b">
        <v>1</v>
      </c>
      <c r="Y5" s="4"/>
      <c r="Z5" s="4"/>
      <c r="AA5" s="4"/>
    </row>
    <row r="6" spans="1:27" ht="24.95" customHeight="1" x14ac:dyDescent="0.2">
      <c r="A6" s="4"/>
      <c r="B6" s="4"/>
      <c r="D6" s="117"/>
      <c r="F6" s="5"/>
      <c r="G6" s="4"/>
      <c r="H6" s="4"/>
      <c r="I6" s="4"/>
      <c r="J6" s="4"/>
      <c r="K6" s="82"/>
      <c r="L6" s="4"/>
      <c r="M6" s="4"/>
      <c r="N6" s="4"/>
      <c r="O6" s="4"/>
      <c r="P6" s="4"/>
      <c r="Q6" s="4"/>
      <c r="R6" s="4"/>
      <c r="S6" s="4"/>
      <c r="T6" s="4"/>
      <c r="U6" s="4"/>
      <c r="V6" s="4"/>
      <c r="W6" s="211" t="s">
        <v>184</v>
      </c>
      <c r="X6" s="214" t="b">
        <v>0</v>
      </c>
      <c r="Y6" s="4"/>
      <c r="Z6" s="4"/>
      <c r="AA6" s="4"/>
    </row>
    <row r="7" spans="1:27" ht="24.95" customHeight="1" x14ac:dyDescent="0.2">
      <c r="A7" s="4"/>
      <c r="B7" s="4"/>
      <c r="C7" s="20"/>
      <c r="D7" s="117"/>
      <c r="E7" s="5"/>
      <c r="F7" s="5"/>
      <c r="G7" s="4"/>
      <c r="H7" s="4"/>
      <c r="I7" s="4"/>
      <c r="J7" s="4"/>
      <c r="K7" s="82"/>
      <c r="L7" s="4"/>
      <c r="M7" s="4"/>
      <c r="N7" s="4"/>
      <c r="O7" s="4"/>
      <c r="P7" s="4"/>
      <c r="Q7" s="4"/>
      <c r="R7" s="4"/>
      <c r="S7" s="4"/>
      <c r="T7" s="4"/>
      <c r="U7" s="4"/>
      <c r="V7" s="4"/>
      <c r="W7" s="211" t="s">
        <v>185</v>
      </c>
      <c r="X7" s="214" t="b">
        <v>0</v>
      </c>
      <c r="Y7" s="4"/>
      <c r="Z7" s="4"/>
      <c r="AA7" s="4"/>
    </row>
    <row r="8" spans="1:27" ht="30" customHeight="1" x14ac:dyDescent="0.2">
      <c r="A8" s="4"/>
      <c r="B8" s="4"/>
      <c r="C8" s="20"/>
      <c r="D8" s="20"/>
      <c r="E8" s="5"/>
      <c r="F8" s="5"/>
      <c r="G8" s="4"/>
      <c r="H8" s="4"/>
      <c r="I8" s="4"/>
      <c r="J8" s="4"/>
      <c r="K8" s="4"/>
      <c r="L8" s="4"/>
      <c r="M8" s="4"/>
      <c r="N8" s="4"/>
      <c r="O8" s="4"/>
      <c r="P8" s="4"/>
      <c r="Q8" s="4"/>
      <c r="R8" s="4"/>
      <c r="S8" s="4"/>
      <c r="T8" s="4"/>
      <c r="U8" s="4"/>
      <c r="V8" s="4"/>
      <c r="W8" s="4"/>
      <c r="X8" s="4"/>
      <c r="Y8" s="4"/>
      <c r="Z8" s="4"/>
      <c r="AA8" s="4"/>
    </row>
    <row r="9" spans="1:27" ht="12.75" hidden="1" customHeight="1" x14ac:dyDescent="0.2">
      <c r="A9" s="4"/>
      <c r="B9" s="4"/>
      <c r="C9" s="20"/>
      <c r="D9" s="20"/>
      <c r="E9" s="5"/>
      <c r="F9" s="5"/>
      <c r="G9" s="4"/>
      <c r="H9" s="4"/>
      <c r="I9" s="4"/>
      <c r="J9" s="4"/>
      <c r="K9" s="4"/>
      <c r="L9" s="4"/>
      <c r="M9" s="4"/>
      <c r="N9" s="4"/>
      <c r="O9" s="4"/>
      <c r="P9" s="224" t="str">
        <f ca="1">OFFSET(PLQ!$E$12,ROW($P9)-ROW(P$12),0)</f>
        <v>-</v>
      </c>
      <c r="Q9" s="4"/>
      <c r="R9" s="4"/>
      <c r="S9" s="4"/>
      <c r="T9" s="4"/>
      <c r="U9" s="4"/>
      <c r="V9" s="4"/>
      <c r="W9" s="4"/>
      <c r="X9" s="4"/>
      <c r="Y9" s="4"/>
      <c r="Z9" s="4"/>
      <c r="AA9" s="4"/>
    </row>
    <row r="10" spans="1:27" ht="30" customHeight="1" x14ac:dyDescent="0.2">
      <c r="A10" s="74" t="s">
        <v>3</v>
      </c>
      <c r="B10" s="74" t="s">
        <v>123</v>
      </c>
      <c r="C10" s="74" t="s">
        <v>152</v>
      </c>
      <c r="D10" s="74" t="s">
        <v>153</v>
      </c>
      <c r="E10" s="74" t="s">
        <v>154</v>
      </c>
      <c r="F10" s="74" t="s">
        <v>155</v>
      </c>
      <c r="G10" s="74" t="s">
        <v>156</v>
      </c>
      <c r="H10" s="74" t="s">
        <v>124</v>
      </c>
      <c r="I10" s="74" t="s">
        <v>125</v>
      </c>
      <c r="J10" s="74" t="s">
        <v>3</v>
      </c>
      <c r="K10" s="74" t="s">
        <v>147</v>
      </c>
      <c r="L10" s="74" t="s">
        <v>146</v>
      </c>
      <c r="M10" s="74" t="s">
        <v>4</v>
      </c>
      <c r="N10" s="74" t="s">
        <v>142</v>
      </c>
      <c r="O10" s="75" t="s">
        <v>149</v>
      </c>
      <c r="P10" s="74" t="s">
        <v>148</v>
      </c>
      <c r="Q10" s="74" t="str">
        <f>IF(OR(TipoOrçamento="LICITADO",TipoOrçamento="REPROGRAMADOAC"),"Preço Unitário (R$)","Custo Unitário (R$)")</f>
        <v>Preço Unitário (R$)</v>
      </c>
      <c r="R10" s="74" t="s">
        <v>5</v>
      </c>
      <c r="S10" s="74" t="s">
        <v>151</v>
      </c>
      <c r="T10" s="74" t="s">
        <v>6</v>
      </c>
      <c r="U10" s="74" t="s">
        <v>159</v>
      </c>
      <c r="V10" s="116" t="s">
        <v>161</v>
      </c>
      <c r="W10" s="116" t="s">
        <v>122</v>
      </c>
      <c r="X10" s="116" t="s">
        <v>130</v>
      </c>
      <c r="Y10" s="115" t="str">
        <f>IF(TipoOrçamento="LICITADO","Preço Unitário Edital (R$)","Custo Unitário Referência (R$)")</f>
        <v>Preço Unitário Edital (R$)</v>
      </c>
      <c r="Z10" s="147" t="str">
        <f>IF(TipoOrçamento="LICITADO","Valor BDI Edital","Valor BDI")</f>
        <v>Valor BDI Edital</v>
      </c>
      <c r="AA10" s="4"/>
    </row>
    <row r="11" spans="1:27" hidden="1" x14ac:dyDescent="0.2">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IF(OR($A11="S",$A11=0),0,MATCH(0,OFFSET($B11,1,$A11,ROW($A$227)-ROW($A11)),0))</f>
        <v>0</v>
      </c>
      <c r="I11">
        <f ca="1">IF(OR($A11="S",$A11=0),0,MATCH(OFFSET($B11,0,$A11)+1,OFFSET($B11,1,$A11,ROW($A$227)-ROW($A11)),0))</f>
        <v>0</v>
      </c>
      <c r="J11" s="120" t="s">
        <v>103</v>
      </c>
      <c r="K11" s="162" t="e">
        <f ca="1">IF($A11=0,"-",CONCATENATE(C11&amp;".",IF(AND($A$5&gt;=2,$A11&gt;=2),D11&amp;".",""),IF(AND($A$5&gt;=3,$A11&gt;=3),E11&amp;".",""),IF(AND($A$5&gt;=4,$A11&gt;=4),F11&amp;".",""),IF($A11="S",G11&amp;".","")))</f>
        <v>#VALUE!</v>
      </c>
      <c r="L11" s="209"/>
      <c r="M11" s="209"/>
      <c r="N11" s="230" t="str">
        <f ca="1">IF($A11="S",Referencia.Descricao,"(digite a descrição aqui)")</f>
        <v/>
      </c>
      <c r="O11" s="229" t="str">
        <f ca="1">Referencia.Unidade</f>
        <v/>
      </c>
      <c r="P11" s="232"/>
      <c r="Q11" s="228"/>
      <c r="R11" s="231" t="s">
        <v>7</v>
      </c>
      <c r="S11" s="121">
        <f>IF($A11="S",IF($Q$10="Preço Unitário (R$)",PO.CustoUnitario,ROUND(PO.CustoUnitario*(1+$Z11),15-13*$X$6)),0)</f>
        <v>0</v>
      </c>
      <c r="T11" s="98">
        <f>IF($A11="S",VTOTAL1,IF($A11=0,0,ROUND(SomaAgrup,15-13*$X$7)))</f>
        <v>0</v>
      </c>
      <c r="U11" s="13" t="str">
        <f ca="1">IF($J11="","",IF($N11="","DESCRIÇÃO",IF(AND($J11="Serviço",$O11=""),"UNIDADE",IF($T11&lt;=0,"SEM VALOR",IF(AND($Y11&lt;&gt;"",$Q11&gt;$Y11),"ACIMA REF.","")))))</f>
        <v>DESCRIÇÃO</v>
      </c>
      <c r="V11" s="4" t="str">
        <f ca="1">IF(OR($A11=0,$A11="S",$A11&gt;CFF!$A$9),"",MAX(V$12:OFFSET(V11,-1,0))+1)</f>
        <v/>
      </c>
      <c r="W11" s="9" t="b">
        <f>IF(AND($J11="Serviço",$M11&lt;&gt;""),IF($L11="",$M11,CONCATENATE($L11,"-",$M11)))</f>
        <v>0</v>
      </c>
      <c r="X11" s="4" t="str">
        <f ca="1">IF(AND(Fonte&lt;&gt;"",Código&lt;&gt;""),MATCH(Fonte&amp;" "&amp;IF(Fonte="sinapi",SUBSTITUTE(SUBSTITUTE(Código,"/00","/"),"/0","/"),Código),INDIRECT("'[Referência "&amp;_xlnm.Database&amp;".xls]Banco'!$a:$a"),0),"X")</f>
        <v>X</v>
      </c>
      <c r="Y11" s="121">
        <f ca="1">IF(Import.Desoneracao="sim",Referencia.Desonerado,Referencia.NaoDesonerado)</f>
        <v>0</v>
      </c>
      <c r="Z11" s="132">
        <f ca="1">ROUND(IF(ISNUMBER(R11),R11,IF(LEFT(R11,3)="BDI",HLOOKUP(R11,DADOS!$T$37:$X$38,2,FALSE),0)),15-11*$X$5)</f>
        <v>0.27639999999999998</v>
      </c>
      <c r="AA11" s="4"/>
    </row>
    <row r="12" spans="1:27" x14ac:dyDescent="0.2">
      <c r="A12">
        <v>0</v>
      </c>
      <c r="B12">
        <f ca="1">COUNTA(OFFSET(B12,1,0):B$227)</f>
        <v>214</v>
      </c>
      <c r="J12" s="76" t="str">
        <f>IF(OR(TipoOrçamento="LICITADO",TipoOrçamento="REPROGRAMADOAC"),"CTEF","LOTE")</f>
        <v>CTEF</v>
      </c>
      <c r="K12" s="163">
        <v>0</v>
      </c>
      <c r="L12" s="10"/>
      <c r="M12" s="10"/>
      <c r="N12" s="87">
        <f>IF(TipoOrçamento="LICITADO",DADOS!O43,DADOS!G38)</f>
        <v>0</v>
      </c>
      <c r="O12" s="10"/>
      <c r="P12" s="11"/>
      <c r="Q12" s="11"/>
      <c r="R12" s="12"/>
      <c r="S12" s="11"/>
      <c r="T12" s="97">
        <f ca="1">SUMIF(OFFSET($J12,1,0,ROW(T227)-ROW(T12)-1),"Serviço",OFFSET(T12,1,0,ROW(T227)-ROW(T12)-1))</f>
        <v>0</v>
      </c>
      <c r="U12" s="13" t="str">
        <f>IF($N12=0,"DESCRIÇÃO","")</f>
        <v>DESCRIÇÃO</v>
      </c>
      <c r="V12" s="4">
        <v>0</v>
      </c>
      <c r="W12" s="4"/>
      <c r="X12" s="4"/>
      <c r="Y12" s="11"/>
      <c r="Z12" s="133"/>
      <c r="AA12" s="4"/>
    </row>
    <row r="13" spans="1:27" x14ac:dyDescent="0.2">
      <c r="A13">
        <f t="shared" ref="A13:A113" si="0">CHOOSE(1+LOG(1+2*(J13="Meta")+4*(J13="Nível 2")+8*(J13="Nível 3")+16*(J13="Nível 4")+32*(J13="Serviço"),2),0,1,2,3,4,"S")</f>
        <v>1</v>
      </c>
      <c r="B13">
        <f t="shared" ref="B13:B113" ca="1" si="1">IF(OR(A13="S",A13=0),0,IF(ISERROR(I13),H13,SMALL(H13:I13,1)))</f>
        <v>214</v>
      </c>
      <c r="C13">
        <f t="shared" ref="C13:C113" ca="1" si="2">IF($A13=1,OFFSET(C13,-1,0)+1,OFFSET(C13,-1,0))</f>
        <v>1</v>
      </c>
      <c r="D13">
        <f t="shared" ref="D13:D113" ca="1" si="3">IF($A13=1,0,IF($A13=2,OFFSET(D13,-1,0)+1,OFFSET(D13,-1,0)))</f>
        <v>0</v>
      </c>
      <c r="E13">
        <f t="shared" ref="E13:E113" ca="1" si="4">IF(AND($A13&lt;=2,$A13&lt;&gt;0),0,IF($A13=3,OFFSET(E13,-1,0)+1,OFFSET(E13,-1,0)))</f>
        <v>0</v>
      </c>
      <c r="F13">
        <f t="shared" ref="F13:F113" ca="1" si="5">IF(AND($A13&lt;=3,$A13&lt;&gt;0),0,IF($A13=4,OFFSET(F13,-1,0)+1,OFFSET(F13,-1,0)))</f>
        <v>0</v>
      </c>
      <c r="G13">
        <f t="shared" ref="G13:G113" ca="1" si="6">IF(AND($A13&lt;=4,$A13&lt;&gt;0),0,IF($A13="S",OFFSET(G13,-1,0)+1,OFFSET(G13,-1,0)))</f>
        <v>0</v>
      </c>
      <c r="H13">
        <f t="shared" ref="H13:H79" ca="1" si="7">IF(OR($A13="S",$A13=0),0,MATCH(0,OFFSET($B13,1,$A13,ROW($A$227)-ROW($A13)),0))</f>
        <v>214</v>
      </c>
      <c r="I13" t="e">
        <f t="shared" ref="I13:I79" ca="1" si="8">IF(OR($A13="S",$A13=0),0,MATCH(OFFSET($B13,0,$A13)+1,OFFSET($B13,1,$A13,ROW($A$227)-ROW($A13)),0))</f>
        <v>#N/A</v>
      </c>
      <c r="J13" s="164" t="s">
        <v>99</v>
      </c>
      <c r="K13" s="162" t="str">
        <f t="shared" ref="K13:K113" ca="1" si="9">IF($A13=0,"-",CONCATENATE(C13&amp;".",IF(AND($A$5&gt;=2,$A13&gt;=2),D13&amp;".",""),IF(AND($A$5&gt;=3,$A13&gt;=3),E13&amp;".",""),IF(AND($A$5&gt;=4,$A13&gt;=4),F13&amp;".",""),IF($A13="S",G13&amp;".","")))</f>
        <v>1.</v>
      </c>
      <c r="L13" s="395"/>
      <c r="M13" s="395"/>
      <c r="N13" s="397" t="s">
        <v>233</v>
      </c>
      <c r="O13" s="398" t="s">
        <v>106</v>
      </c>
      <c r="P13" s="399">
        <v>0</v>
      </c>
      <c r="Q13" s="228"/>
      <c r="R13" s="231" t="s">
        <v>7</v>
      </c>
      <c r="S13" s="121">
        <f t="shared" ref="S13:S113" si="10">IF($A13="S",IF($Q$10="Preço Unitário (R$)",PO.CustoUnitario,ROUND(PO.CustoUnitario*(1+$Z13),15-13*$X$6)),0)</f>
        <v>0</v>
      </c>
      <c r="T13" s="98">
        <f t="shared" ref="T13:T113" ca="1" si="11">IF($A13="S",VTOTAL1,IF($A13=0,0,ROUND(SomaAgrup,15-13*$X$7)))</f>
        <v>0</v>
      </c>
      <c r="U13" s="13" t="str">
        <f t="shared" ref="U13:U113" ca="1" si="12">IF($J13="","",IF($N13="","DESCRIÇÃO",IF(AND($J13="Serviço",$O13=""),"UNIDADE",IF($T13&lt;=0,"SEM VALOR",IF(AND($Y13&lt;&gt;"",$Q13&gt;$Y13),"ACIMA REF.","")))))</f>
        <v>SEM VALOR</v>
      </c>
      <c r="V13" s="4">
        <f ca="1">IF(OR($A13=0,$A13="S",$A13&gt;CFF!$A$9),"",MAX(V$12:OFFSET(V13,-1,0))+1)</f>
        <v>1</v>
      </c>
      <c r="W13" s="9" t="b">
        <f t="shared" ref="W13:W113" si="13">IF(AND($J13="Serviço",$M13&lt;&gt;""),IF($L13="",$M13,CONCATENATE($L13,"-",$M13)))</f>
        <v>0</v>
      </c>
      <c r="X13" s="4" t="str">
        <f t="shared" ref="X13:X113" ca="1" si="14">IF(AND(Fonte&lt;&gt;"",Código&lt;&gt;""),MATCH(Fonte&amp;" "&amp;IF(Fonte="sinapi",SUBSTITUTE(SUBSTITUTE(Código,"/00","/"),"/0","/"),Código),INDIRECT("'[Referência "&amp;_xlnm.Database&amp;".xls]Banco'!$a:$a"),0),"X")</f>
        <v>X</v>
      </c>
      <c r="Y13" s="121">
        <v>0</v>
      </c>
      <c r="Z13" s="132">
        <f ca="1">ROUND(IF(ISNUMBER(R13),R13,IF(LEFT(R13,3)="BDI",HLOOKUP(R13,DADOS!$T$37:$X$38,2,FALSE),0)),15-11*$X$5)</f>
        <v>0.27639999999999998</v>
      </c>
      <c r="AA13" s="4"/>
    </row>
    <row r="14" spans="1:27" x14ac:dyDescent="0.2">
      <c r="A14">
        <f t="shared" si="0"/>
        <v>2</v>
      </c>
      <c r="B14">
        <f t="shared" ca="1" si="1"/>
        <v>3</v>
      </c>
      <c r="C14">
        <f t="shared" ca="1" si="2"/>
        <v>1</v>
      </c>
      <c r="D14">
        <f t="shared" ca="1" si="3"/>
        <v>1</v>
      </c>
      <c r="E14">
        <f t="shared" ca="1" si="4"/>
        <v>0</v>
      </c>
      <c r="F14">
        <f t="shared" ca="1" si="5"/>
        <v>0</v>
      </c>
      <c r="G14">
        <f t="shared" ca="1" si="6"/>
        <v>0</v>
      </c>
      <c r="H14">
        <f t="shared" ca="1" si="7"/>
        <v>213</v>
      </c>
      <c r="I14">
        <f t="shared" ca="1" si="8"/>
        <v>3</v>
      </c>
      <c r="J14" s="394" t="s">
        <v>100</v>
      </c>
      <c r="K14" s="162" t="str">
        <f t="shared" ca="1" si="9"/>
        <v>1.1.</v>
      </c>
      <c r="L14" s="395"/>
      <c r="M14" s="395"/>
      <c r="N14" s="397" t="s">
        <v>623</v>
      </c>
      <c r="O14" s="398" t="s">
        <v>106</v>
      </c>
      <c r="P14" s="399"/>
      <c r="Q14" s="228"/>
      <c r="R14" s="231" t="s">
        <v>7</v>
      </c>
      <c r="S14" s="121">
        <f t="shared" si="10"/>
        <v>0</v>
      </c>
      <c r="T14" s="98">
        <f t="shared" ca="1" si="11"/>
        <v>0</v>
      </c>
      <c r="U14" s="13" t="str">
        <f t="shared" ca="1" si="12"/>
        <v>SEM VALOR</v>
      </c>
      <c r="V14" s="4">
        <f ca="1">IF(OR($A14=0,$A14="S",$A14&gt;CFF!$A$9),"",MAX(V$12:OFFSET(V14,-1,0))+1)</f>
        <v>2</v>
      </c>
      <c r="W14" s="9" t="b">
        <f t="shared" si="13"/>
        <v>0</v>
      </c>
      <c r="X14" s="4" t="str">
        <f t="shared" ca="1" si="14"/>
        <v>X</v>
      </c>
      <c r="Y14" s="121">
        <v>0</v>
      </c>
      <c r="Z14" s="132">
        <f ca="1">ROUND(IF(ISNUMBER(R14),R14,IF(LEFT(R14,3)="BDI",HLOOKUP(R14,DADOS!$T$37:$X$38,2,FALSE),0)),15-11*$X$5)</f>
        <v>0.27639999999999998</v>
      </c>
      <c r="AA14" s="4"/>
    </row>
    <row r="15" spans="1:27" x14ac:dyDescent="0.2">
      <c r="A15" t="str">
        <f t="shared" si="0"/>
        <v>S</v>
      </c>
      <c r="B15">
        <f t="shared" si="1"/>
        <v>0</v>
      </c>
      <c r="C15">
        <f t="shared" ca="1" si="2"/>
        <v>1</v>
      </c>
      <c r="D15">
        <f t="shared" ca="1" si="3"/>
        <v>1</v>
      </c>
      <c r="E15">
        <f t="shared" ca="1" si="4"/>
        <v>0</v>
      </c>
      <c r="F15">
        <f t="shared" ca="1" si="5"/>
        <v>0</v>
      </c>
      <c r="G15">
        <f t="shared" ca="1" si="6"/>
        <v>1</v>
      </c>
      <c r="H15">
        <f t="shared" ca="1" si="7"/>
        <v>0</v>
      </c>
      <c r="I15">
        <f t="shared" ca="1" si="8"/>
        <v>0</v>
      </c>
      <c r="J15" s="394" t="s">
        <v>103</v>
      </c>
      <c r="K15" s="162" t="str">
        <f t="shared" ca="1" si="9"/>
        <v>1.1.0.0.1.</v>
      </c>
      <c r="L15" s="395" t="s">
        <v>347</v>
      </c>
      <c r="M15" s="395" t="s">
        <v>624</v>
      </c>
      <c r="N15" s="397" t="s">
        <v>626</v>
      </c>
      <c r="O15" s="398" t="s">
        <v>628</v>
      </c>
      <c r="P15" s="399">
        <v>1056</v>
      </c>
      <c r="Q15" s="228"/>
      <c r="R15" s="231" t="s">
        <v>7</v>
      </c>
      <c r="S15" s="121">
        <f t="shared" si="10"/>
        <v>0</v>
      </c>
      <c r="T15" s="98">
        <f t="shared" si="11"/>
        <v>0</v>
      </c>
      <c r="U15" s="13" t="str">
        <f t="shared" si="12"/>
        <v>SEM VALOR</v>
      </c>
      <c r="V15" s="4" t="str">
        <f ca="1">IF(OR($A15=0,$A15="S",$A15&gt;CFF!$A$9),"",MAX(V$12:OFFSET(V15,-1,0))+1)</f>
        <v/>
      </c>
      <c r="W15" s="9" t="str">
        <f t="shared" si="13"/>
        <v>SINAPI-90776</v>
      </c>
      <c r="X15" s="4" t="e">
        <f t="shared" ca="1" si="14"/>
        <v>#REF!</v>
      </c>
      <c r="Y15" s="121">
        <v>44.227260000000001</v>
      </c>
      <c r="Z15" s="132">
        <f ca="1">ROUND(IF(ISNUMBER(R15),R15,IF(LEFT(R15,3)="BDI",HLOOKUP(R15,DADOS!$T$37:$X$38,2,FALSE),0)),15-11*$X$5)</f>
        <v>0.27639999999999998</v>
      </c>
      <c r="AA15" s="4"/>
    </row>
    <row r="16" spans="1:27" x14ac:dyDescent="0.2">
      <c r="A16" t="str">
        <f t="shared" si="0"/>
        <v>S</v>
      </c>
      <c r="B16">
        <f t="shared" si="1"/>
        <v>0</v>
      </c>
      <c r="C16">
        <f t="shared" ca="1" si="2"/>
        <v>1</v>
      </c>
      <c r="D16">
        <f t="shared" ca="1" si="3"/>
        <v>1</v>
      </c>
      <c r="E16">
        <f t="shared" ca="1" si="4"/>
        <v>0</v>
      </c>
      <c r="F16">
        <f t="shared" ca="1" si="5"/>
        <v>0</v>
      </c>
      <c r="G16">
        <f t="shared" ca="1" si="6"/>
        <v>2</v>
      </c>
      <c r="H16">
        <f t="shared" ca="1" si="7"/>
        <v>0</v>
      </c>
      <c r="I16">
        <f t="shared" ca="1" si="8"/>
        <v>0</v>
      </c>
      <c r="J16" s="394" t="s">
        <v>103</v>
      </c>
      <c r="K16" s="162" t="str">
        <f t="shared" ca="1" si="9"/>
        <v>1.1.0.0.2.</v>
      </c>
      <c r="L16" s="395" t="s">
        <v>347</v>
      </c>
      <c r="M16" s="395" t="s">
        <v>625</v>
      </c>
      <c r="N16" s="397" t="s">
        <v>627</v>
      </c>
      <c r="O16" s="398" t="s">
        <v>628</v>
      </c>
      <c r="P16" s="399">
        <v>288</v>
      </c>
      <c r="Q16" s="228"/>
      <c r="R16" s="231" t="s">
        <v>7</v>
      </c>
      <c r="S16" s="121">
        <f t="shared" si="10"/>
        <v>0</v>
      </c>
      <c r="T16" s="98">
        <f t="shared" si="11"/>
        <v>0</v>
      </c>
      <c r="U16" s="13" t="str">
        <f t="shared" si="12"/>
        <v>SEM VALOR</v>
      </c>
      <c r="V16" s="4" t="str">
        <f ca="1">IF(OR($A16=0,$A16="S",$A16&gt;CFF!$A$9),"",MAX(V$12:OFFSET(V16,-1,0))+1)</f>
        <v/>
      </c>
      <c r="W16" s="9" t="str">
        <f t="shared" si="13"/>
        <v>SINAPI-90777</v>
      </c>
      <c r="X16" s="4" t="e">
        <f t="shared" ca="1" si="14"/>
        <v>#REF!</v>
      </c>
      <c r="Y16" s="121">
        <v>111.49354</v>
      </c>
      <c r="Z16" s="132">
        <f ca="1">ROUND(IF(ISNUMBER(R16),R16,IF(LEFT(R16,3)="BDI",HLOOKUP(R16,DADOS!$T$37:$X$38,2,FALSE),0)),15-11*$X$5)</f>
        <v>0.27639999999999998</v>
      </c>
      <c r="AA16" s="4"/>
    </row>
    <row r="17" spans="1:27" x14ac:dyDescent="0.2">
      <c r="A17">
        <f t="shared" si="0"/>
        <v>2</v>
      </c>
      <c r="B17">
        <f t="shared" ca="1" si="1"/>
        <v>9</v>
      </c>
      <c r="C17">
        <f t="shared" ca="1" si="2"/>
        <v>1</v>
      </c>
      <c r="D17">
        <f t="shared" ca="1" si="3"/>
        <v>2</v>
      </c>
      <c r="E17">
        <f t="shared" ca="1" si="4"/>
        <v>0</v>
      </c>
      <c r="F17">
        <f t="shared" ca="1" si="5"/>
        <v>0</v>
      </c>
      <c r="G17">
        <f t="shared" ca="1" si="6"/>
        <v>0</v>
      </c>
      <c r="H17">
        <f t="shared" ca="1" si="7"/>
        <v>210</v>
      </c>
      <c r="I17">
        <f t="shared" ca="1" si="8"/>
        <v>9</v>
      </c>
      <c r="J17" s="394" t="s">
        <v>100</v>
      </c>
      <c r="K17" s="162" t="str">
        <f t="shared" ca="1" si="9"/>
        <v>1.2.</v>
      </c>
      <c r="L17" s="395"/>
      <c r="M17" s="395"/>
      <c r="N17" s="397" t="s">
        <v>242</v>
      </c>
      <c r="O17" s="398" t="s">
        <v>106</v>
      </c>
      <c r="P17" s="399">
        <v>0</v>
      </c>
      <c r="Q17" s="228"/>
      <c r="R17" s="231" t="s">
        <v>7</v>
      </c>
      <c r="S17" s="121">
        <f t="shared" si="10"/>
        <v>0</v>
      </c>
      <c r="T17" s="98">
        <f t="shared" ca="1" si="11"/>
        <v>0</v>
      </c>
      <c r="U17" s="13" t="str">
        <f t="shared" ca="1" si="12"/>
        <v>SEM VALOR</v>
      </c>
      <c r="V17" s="4">
        <f ca="1">IF(OR($A17=0,$A17="S",$A17&gt;CFF!$A$9),"",MAX(V$12:OFFSET(V17,-1,0))+1)</f>
        <v>3</v>
      </c>
      <c r="W17" s="9" t="b">
        <f t="shared" si="13"/>
        <v>0</v>
      </c>
      <c r="X17" s="4" t="str">
        <f t="shared" ca="1" si="14"/>
        <v>X</v>
      </c>
      <c r="Y17" s="121">
        <v>0</v>
      </c>
      <c r="Z17" s="132">
        <f ca="1">ROUND(IF(ISNUMBER(R17),R17,IF(LEFT(R17,3)="BDI",HLOOKUP(R17,DADOS!$T$37:$X$38,2,FALSE),0)),15-11*$X$5)</f>
        <v>0.27639999999999998</v>
      </c>
      <c r="AA17" s="4"/>
    </row>
    <row r="18" spans="1:27" ht="25.5" x14ac:dyDescent="0.2">
      <c r="A18" t="str">
        <f t="shared" si="0"/>
        <v>S</v>
      </c>
      <c r="B18">
        <f t="shared" si="1"/>
        <v>0</v>
      </c>
      <c r="C18">
        <f t="shared" ca="1" si="2"/>
        <v>1</v>
      </c>
      <c r="D18">
        <f t="shared" ca="1" si="3"/>
        <v>2</v>
      </c>
      <c r="E18">
        <f t="shared" ca="1" si="4"/>
        <v>0</v>
      </c>
      <c r="F18">
        <f t="shared" ca="1" si="5"/>
        <v>0</v>
      </c>
      <c r="G18">
        <f t="shared" ca="1" si="6"/>
        <v>1</v>
      </c>
      <c r="H18">
        <f t="shared" ca="1" si="7"/>
        <v>0</v>
      </c>
      <c r="I18">
        <f t="shared" ca="1" si="8"/>
        <v>0</v>
      </c>
      <c r="J18" s="394" t="s">
        <v>103</v>
      </c>
      <c r="K18" s="162" t="str">
        <f t="shared" ca="1" si="9"/>
        <v>1.2.0.0.1.</v>
      </c>
      <c r="L18" s="395" t="s">
        <v>236</v>
      </c>
      <c r="M18" s="395" t="s">
        <v>251</v>
      </c>
      <c r="N18" s="397" t="s">
        <v>243</v>
      </c>
      <c r="O18" s="398" t="s">
        <v>259</v>
      </c>
      <c r="P18" s="399">
        <v>1</v>
      </c>
      <c r="Q18" s="228"/>
      <c r="R18" s="231" t="s">
        <v>7</v>
      </c>
      <c r="S18" s="121">
        <f t="shared" si="10"/>
        <v>0</v>
      </c>
      <c r="T18" s="98">
        <f t="shared" si="11"/>
        <v>0</v>
      </c>
      <c r="U18" s="13" t="str">
        <f t="shared" si="12"/>
        <v>SEM VALOR</v>
      </c>
      <c r="V18" s="4" t="str">
        <f ca="1">IF(OR($A18=0,$A18="S",$A18&gt;CFF!$A$9),"",MAX(V$12:OFFSET(V18,-1,0))+1)</f>
        <v/>
      </c>
      <c r="W18" s="9" t="str">
        <f t="shared" si="13"/>
        <v>SEE/MG-010001</v>
      </c>
      <c r="X18" s="4" t="e">
        <f t="shared" ca="1" si="14"/>
        <v>#REF!</v>
      </c>
      <c r="Y18" s="121">
        <v>1431.4443080000001</v>
      </c>
      <c r="Z18" s="132">
        <f ca="1">ROUND(IF(ISNUMBER(R18),R18,IF(LEFT(R18,3)="BDI",HLOOKUP(R18,DADOS!$T$37:$X$38,2,FALSE),0)),15-11*$X$5)</f>
        <v>0.27639999999999998</v>
      </c>
      <c r="AA18" s="4"/>
    </row>
    <row r="19" spans="1:27" x14ac:dyDescent="0.2">
      <c r="A19" t="str">
        <f t="shared" si="0"/>
        <v>S</v>
      </c>
      <c r="B19">
        <f t="shared" si="1"/>
        <v>0</v>
      </c>
      <c r="C19">
        <f t="shared" ca="1" si="2"/>
        <v>1</v>
      </c>
      <c r="D19">
        <f t="shared" ca="1" si="3"/>
        <v>2</v>
      </c>
      <c r="E19">
        <f t="shared" ca="1" si="4"/>
        <v>0</v>
      </c>
      <c r="F19">
        <f t="shared" ca="1" si="5"/>
        <v>0</v>
      </c>
      <c r="G19">
        <f t="shared" ca="1" si="6"/>
        <v>2</v>
      </c>
      <c r="H19">
        <f t="shared" ca="1" si="7"/>
        <v>0</v>
      </c>
      <c r="I19">
        <f t="shared" ca="1" si="8"/>
        <v>0</v>
      </c>
      <c r="J19" s="394" t="s">
        <v>103</v>
      </c>
      <c r="K19" s="162" t="str">
        <f t="shared" ca="1" si="9"/>
        <v>1.2.0.0.2.</v>
      </c>
      <c r="L19" s="395" t="s">
        <v>236</v>
      </c>
      <c r="M19" s="395" t="s">
        <v>252</v>
      </c>
      <c r="N19" s="397" t="s">
        <v>244</v>
      </c>
      <c r="O19" s="398" t="s">
        <v>260</v>
      </c>
      <c r="P19" s="399">
        <v>176</v>
      </c>
      <c r="Q19" s="228"/>
      <c r="R19" s="231" t="s">
        <v>7</v>
      </c>
      <c r="S19" s="121">
        <f t="shared" si="10"/>
        <v>0</v>
      </c>
      <c r="T19" s="98">
        <f t="shared" si="11"/>
        <v>0</v>
      </c>
      <c r="U19" s="13" t="str">
        <f t="shared" si="12"/>
        <v>SEM VALOR</v>
      </c>
      <c r="V19" s="4" t="str">
        <f ca="1">IF(OR($A19=0,$A19="S",$A19&gt;CFF!$A$9),"",MAX(V$12:OFFSET(V19,-1,0))+1)</f>
        <v/>
      </c>
      <c r="W19" s="9" t="str">
        <f t="shared" si="13"/>
        <v>SEE/MG-010002</v>
      </c>
      <c r="X19" s="4" t="e">
        <f t="shared" ca="1" si="14"/>
        <v>#REF!</v>
      </c>
      <c r="Y19" s="121">
        <v>139.19141999999999</v>
      </c>
      <c r="Z19" s="132">
        <f ca="1">ROUND(IF(ISNUMBER(R19),R19,IF(LEFT(R19,3)="BDI",HLOOKUP(R19,DADOS!$T$37:$X$38,2,FALSE),0)),15-11*$X$5)</f>
        <v>0.27639999999999998</v>
      </c>
      <c r="AA19" s="4"/>
    </row>
    <row r="20" spans="1:27" x14ac:dyDescent="0.2">
      <c r="A20" t="str">
        <f t="shared" si="0"/>
        <v>S</v>
      </c>
      <c r="B20">
        <f t="shared" si="1"/>
        <v>0</v>
      </c>
      <c r="C20">
        <f t="shared" ca="1" si="2"/>
        <v>1</v>
      </c>
      <c r="D20">
        <f t="shared" ca="1" si="3"/>
        <v>2</v>
      </c>
      <c r="E20">
        <f t="shared" ca="1" si="4"/>
        <v>0</v>
      </c>
      <c r="F20">
        <f t="shared" ca="1" si="5"/>
        <v>0</v>
      </c>
      <c r="G20">
        <f t="shared" ca="1" si="6"/>
        <v>3</v>
      </c>
      <c r="H20">
        <f t="shared" ca="1" si="7"/>
        <v>0</v>
      </c>
      <c r="I20">
        <f t="shared" ca="1" si="8"/>
        <v>0</v>
      </c>
      <c r="J20" s="394" t="s">
        <v>103</v>
      </c>
      <c r="K20" s="162" t="str">
        <f t="shared" ca="1" si="9"/>
        <v>1.2.0.0.3.</v>
      </c>
      <c r="L20" s="395" t="s">
        <v>236</v>
      </c>
      <c r="M20" s="395" t="s">
        <v>253</v>
      </c>
      <c r="N20" s="397" t="s">
        <v>245</v>
      </c>
      <c r="O20" s="398" t="s">
        <v>259</v>
      </c>
      <c r="P20" s="399">
        <v>1</v>
      </c>
      <c r="Q20" s="228"/>
      <c r="R20" s="231" t="s">
        <v>7</v>
      </c>
      <c r="S20" s="121">
        <f t="shared" si="10"/>
        <v>0</v>
      </c>
      <c r="T20" s="98">
        <f t="shared" si="11"/>
        <v>0</v>
      </c>
      <c r="U20" s="13" t="str">
        <f t="shared" si="12"/>
        <v>SEM VALOR</v>
      </c>
      <c r="V20" s="4" t="str">
        <f ca="1">IF(OR($A20=0,$A20="S",$A20&gt;CFF!$A$9),"",MAX(V$12:OFFSET(V20,-1,0))+1)</f>
        <v/>
      </c>
      <c r="W20" s="9" t="str">
        <f t="shared" si="13"/>
        <v>SEE/MG-010003</v>
      </c>
      <c r="X20" s="4" t="e">
        <f t="shared" ca="1" si="14"/>
        <v>#REF!</v>
      </c>
      <c r="Y20" s="121">
        <v>688.311464</v>
      </c>
      <c r="Z20" s="132">
        <f ca="1">ROUND(IF(ISNUMBER(R20),R20,IF(LEFT(R20,3)="BDI",HLOOKUP(R20,DADOS!$T$37:$X$38,2,FALSE),0)),15-11*$X$5)</f>
        <v>0.27639999999999998</v>
      </c>
      <c r="AA20" s="4"/>
    </row>
    <row r="21" spans="1:27" x14ac:dyDescent="0.2">
      <c r="A21" t="str">
        <f t="shared" si="0"/>
        <v>S</v>
      </c>
      <c r="B21">
        <f t="shared" si="1"/>
        <v>0</v>
      </c>
      <c r="C21">
        <f t="shared" ca="1" si="2"/>
        <v>1</v>
      </c>
      <c r="D21">
        <f t="shared" ca="1" si="3"/>
        <v>2</v>
      </c>
      <c r="E21">
        <f t="shared" ca="1" si="4"/>
        <v>0</v>
      </c>
      <c r="F21">
        <f t="shared" ca="1" si="5"/>
        <v>0</v>
      </c>
      <c r="G21">
        <f t="shared" ca="1" si="6"/>
        <v>4</v>
      </c>
      <c r="H21">
        <f t="shared" ca="1" si="7"/>
        <v>0</v>
      </c>
      <c r="I21">
        <f t="shared" ca="1" si="8"/>
        <v>0</v>
      </c>
      <c r="J21" s="394" t="s">
        <v>103</v>
      </c>
      <c r="K21" s="162" t="str">
        <f t="shared" ca="1" si="9"/>
        <v>1.2.0.0.4.</v>
      </c>
      <c r="L21" s="395" t="s">
        <v>236</v>
      </c>
      <c r="M21" s="395" t="s">
        <v>254</v>
      </c>
      <c r="N21" s="397" t="s">
        <v>246</v>
      </c>
      <c r="O21" s="398" t="s">
        <v>259</v>
      </c>
      <c r="P21" s="399">
        <v>333.45</v>
      </c>
      <c r="Q21" s="228"/>
      <c r="R21" s="231" t="s">
        <v>7</v>
      </c>
      <c r="S21" s="121">
        <f t="shared" si="10"/>
        <v>0</v>
      </c>
      <c r="T21" s="98">
        <f t="shared" si="11"/>
        <v>0</v>
      </c>
      <c r="U21" s="13" t="str">
        <f t="shared" si="12"/>
        <v>SEM VALOR</v>
      </c>
      <c r="V21" s="4" t="str">
        <f ca="1">IF(OR($A21=0,$A21="S",$A21&gt;CFF!$A$9),"",MAX(V$12:OFFSET(V21,-1,0))+1)</f>
        <v/>
      </c>
      <c r="W21" s="9" t="str">
        <f t="shared" si="13"/>
        <v>SEE/MG-010004</v>
      </c>
      <c r="X21" s="4" t="e">
        <f t="shared" ca="1" si="14"/>
        <v>#REF!</v>
      </c>
      <c r="Y21" s="121">
        <v>1.327456</v>
      </c>
      <c r="Z21" s="132">
        <f ca="1">ROUND(IF(ISNUMBER(R21),R21,IF(LEFT(R21,3)="BDI",HLOOKUP(R21,DADOS!$T$37:$X$38,2,FALSE),0)),15-11*$X$5)</f>
        <v>0.27639999999999998</v>
      </c>
      <c r="AA21" s="4"/>
    </row>
    <row r="22" spans="1:27" x14ac:dyDescent="0.2">
      <c r="A22" t="str">
        <f t="shared" si="0"/>
        <v>S</v>
      </c>
      <c r="B22">
        <f t="shared" si="1"/>
        <v>0</v>
      </c>
      <c r="C22">
        <f t="shared" ca="1" si="2"/>
        <v>1</v>
      </c>
      <c r="D22">
        <f t="shared" ca="1" si="3"/>
        <v>2</v>
      </c>
      <c r="E22">
        <f t="shared" ca="1" si="4"/>
        <v>0</v>
      </c>
      <c r="F22">
        <f t="shared" ca="1" si="5"/>
        <v>0</v>
      </c>
      <c r="G22">
        <f t="shared" ca="1" si="6"/>
        <v>5</v>
      </c>
      <c r="H22">
        <f t="shared" ca="1" si="7"/>
        <v>0</v>
      </c>
      <c r="I22">
        <f t="shared" ca="1" si="8"/>
        <v>0</v>
      </c>
      <c r="J22" s="394" t="s">
        <v>103</v>
      </c>
      <c r="K22" s="162" t="str">
        <f t="shared" ca="1" si="9"/>
        <v>1.2.0.0.5.</v>
      </c>
      <c r="L22" s="395" t="s">
        <v>236</v>
      </c>
      <c r="M22" s="395" t="s">
        <v>255</v>
      </c>
      <c r="N22" s="397" t="s">
        <v>247</v>
      </c>
      <c r="O22" s="398" t="s">
        <v>260</v>
      </c>
      <c r="P22" s="399">
        <v>2.52</v>
      </c>
      <c r="Q22" s="228"/>
      <c r="R22" s="231" t="s">
        <v>7</v>
      </c>
      <c r="S22" s="121">
        <f t="shared" si="10"/>
        <v>0</v>
      </c>
      <c r="T22" s="98">
        <f t="shared" si="11"/>
        <v>0</v>
      </c>
      <c r="U22" s="13" t="str">
        <f t="shared" si="12"/>
        <v>SEM VALOR</v>
      </c>
      <c r="V22" s="4" t="str">
        <f ca="1">IF(OR($A22=0,$A22="S",$A22&gt;CFF!$A$9),"",MAX(V$12:OFFSET(V22,-1,0))+1)</f>
        <v/>
      </c>
      <c r="W22" s="9" t="str">
        <f t="shared" si="13"/>
        <v>SEE/MG-010005</v>
      </c>
      <c r="X22" s="4" t="e">
        <f t="shared" ca="1" si="14"/>
        <v>#REF!</v>
      </c>
      <c r="Y22" s="121">
        <v>591.06254799999999</v>
      </c>
      <c r="Z22" s="132">
        <f ca="1">ROUND(IF(ISNUMBER(R22),R22,IF(LEFT(R22,3)="BDI",HLOOKUP(R22,DADOS!$T$37:$X$38,2,FALSE),0)),15-11*$X$5)</f>
        <v>0.27639999999999998</v>
      </c>
      <c r="AA22" s="4"/>
    </row>
    <row r="23" spans="1:27" x14ac:dyDescent="0.2">
      <c r="A23" t="str">
        <f t="shared" si="0"/>
        <v>S</v>
      </c>
      <c r="B23">
        <f t="shared" si="1"/>
        <v>0</v>
      </c>
      <c r="C23">
        <f t="shared" ca="1" si="2"/>
        <v>1</v>
      </c>
      <c r="D23">
        <f t="shared" ca="1" si="3"/>
        <v>2</v>
      </c>
      <c r="E23">
        <f t="shared" ca="1" si="4"/>
        <v>0</v>
      </c>
      <c r="F23">
        <f t="shared" ca="1" si="5"/>
        <v>0</v>
      </c>
      <c r="G23">
        <f t="shared" ca="1" si="6"/>
        <v>6</v>
      </c>
      <c r="H23">
        <f t="shared" ca="1" si="7"/>
        <v>0</v>
      </c>
      <c r="I23">
        <f t="shared" ca="1" si="8"/>
        <v>0</v>
      </c>
      <c r="J23" s="394" t="s">
        <v>103</v>
      </c>
      <c r="K23" s="162" t="str">
        <f t="shared" ca="1" si="9"/>
        <v>1.2.0.0.6.</v>
      </c>
      <c r="L23" s="395" t="s">
        <v>236</v>
      </c>
      <c r="M23" s="395" t="s">
        <v>256</v>
      </c>
      <c r="N23" s="397" t="s">
        <v>248</v>
      </c>
      <c r="O23" s="398" t="s">
        <v>260</v>
      </c>
      <c r="P23" s="399">
        <v>40</v>
      </c>
      <c r="Q23" s="228"/>
      <c r="R23" s="231" t="s">
        <v>7</v>
      </c>
      <c r="S23" s="121">
        <f t="shared" si="10"/>
        <v>0</v>
      </c>
      <c r="T23" s="98">
        <f t="shared" si="11"/>
        <v>0</v>
      </c>
      <c r="U23" s="13" t="str">
        <f t="shared" si="12"/>
        <v>SEM VALOR</v>
      </c>
      <c r="V23" s="4" t="str">
        <f ca="1">IF(OR($A23=0,$A23="S",$A23&gt;CFF!$A$9),"",MAX(V$12:OFFSET(V23,-1,0))+1)</f>
        <v/>
      </c>
      <c r="W23" s="9" t="str">
        <f t="shared" si="13"/>
        <v>SEE/MG-010006</v>
      </c>
      <c r="X23" s="4" t="e">
        <f t="shared" ca="1" si="14"/>
        <v>#REF!</v>
      </c>
      <c r="Y23" s="121">
        <v>533.87982799999997</v>
      </c>
      <c r="Z23" s="132">
        <f ca="1">ROUND(IF(ISNUMBER(R23),R23,IF(LEFT(R23,3)="BDI",HLOOKUP(R23,DADOS!$T$37:$X$38,2,FALSE),0)),15-11*$X$5)</f>
        <v>0.27639999999999998</v>
      </c>
      <c r="AA23" s="4"/>
    </row>
    <row r="24" spans="1:27" x14ac:dyDescent="0.2">
      <c r="A24" t="str">
        <f t="shared" si="0"/>
        <v>S</v>
      </c>
      <c r="B24">
        <f t="shared" si="1"/>
        <v>0</v>
      </c>
      <c r="C24">
        <f t="shared" ca="1" si="2"/>
        <v>1</v>
      </c>
      <c r="D24">
        <f t="shared" ca="1" si="3"/>
        <v>2</v>
      </c>
      <c r="E24">
        <f t="shared" ca="1" si="4"/>
        <v>0</v>
      </c>
      <c r="F24">
        <f t="shared" ca="1" si="5"/>
        <v>0</v>
      </c>
      <c r="G24">
        <f t="shared" ca="1" si="6"/>
        <v>7</v>
      </c>
      <c r="H24">
        <f t="shared" ca="1" si="7"/>
        <v>0</v>
      </c>
      <c r="I24">
        <f t="shared" ca="1" si="8"/>
        <v>0</v>
      </c>
      <c r="J24" s="394" t="s">
        <v>103</v>
      </c>
      <c r="K24" s="162" t="str">
        <f t="shared" ca="1" si="9"/>
        <v>1.2.0.0.7.</v>
      </c>
      <c r="L24" s="395" t="s">
        <v>236</v>
      </c>
      <c r="M24" s="395" t="s">
        <v>257</v>
      </c>
      <c r="N24" s="397" t="s">
        <v>249</v>
      </c>
      <c r="O24" s="398" t="s">
        <v>260</v>
      </c>
      <c r="P24" s="399">
        <v>1129.6400000000001</v>
      </c>
      <c r="Q24" s="228"/>
      <c r="R24" s="231" t="s">
        <v>7</v>
      </c>
      <c r="S24" s="121">
        <f t="shared" si="10"/>
        <v>0</v>
      </c>
      <c r="T24" s="98">
        <f t="shared" si="11"/>
        <v>0</v>
      </c>
      <c r="U24" s="13" t="str">
        <f t="shared" si="12"/>
        <v>SEM VALOR</v>
      </c>
      <c r="V24" s="4" t="str">
        <f ca="1">IF(OR($A24=0,$A24="S",$A24&gt;CFF!$A$9),"",MAX(V$12:OFFSET(V24,-1,0))+1)</f>
        <v/>
      </c>
      <c r="W24" s="9" t="str">
        <f t="shared" si="13"/>
        <v>SEE/MG-010007</v>
      </c>
      <c r="X24" s="4" t="e">
        <f t="shared" ca="1" si="14"/>
        <v>#REF!</v>
      </c>
      <c r="Y24" s="121">
        <v>9.7134040000000006</v>
      </c>
      <c r="Z24" s="132">
        <f ca="1">ROUND(IF(ISNUMBER(R24),R24,IF(LEFT(R24,3)="BDI",HLOOKUP(R24,DADOS!$T$37:$X$38,2,FALSE),0)),15-11*$X$5)</f>
        <v>0.27639999999999998</v>
      </c>
      <c r="AA24" s="4"/>
    </row>
    <row r="25" spans="1:27" x14ac:dyDescent="0.2">
      <c r="A25" t="str">
        <f t="shared" si="0"/>
        <v>S</v>
      </c>
      <c r="B25">
        <f t="shared" si="1"/>
        <v>0</v>
      </c>
      <c r="C25">
        <f t="shared" ca="1" si="2"/>
        <v>1</v>
      </c>
      <c r="D25">
        <f t="shared" ca="1" si="3"/>
        <v>2</v>
      </c>
      <c r="E25">
        <f t="shared" ca="1" si="4"/>
        <v>0</v>
      </c>
      <c r="F25">
        <f t="shared" ca="1" si="5"/>
        <v>0</v>
      </c>
      <c r="G25">
        <f t="shared" ca="1" si="6"/>
        <v>8</v>
      </c>
      <c r="H25">
        <f t="shared" ca="1" si="7"/>
        <v>0</v>
      </c>
      <c r="I25">
        <f t="shared" ca="1" si="8"/>
        <v>0</v>
      </c>
      <c r="J25" s="394" t="s">
        <v>103</v>
      </c>
      <c r="K25" s="162" t="str">
        <f t="shared" ca="1" si="9"/>
        <v>1.2.0.0.8.</v>
      </c>
      <c r="L25" s="395" t="s">
        <v>236</v>
      </c>
      <c r="M25" s="395" t="s">
        <v>258</v>
      </c>
      <c r="N25" s="397" t="s">
        <v>250</v>
      </c>
      <c r="O25" s="398" t="s">
        <v>260</v>
      </c>
      <c r="P25" s="399">
        <v>4000</v>
      </c>
      <c r="Q25" s="228"/>
      <c r="R25" s="231" t="s">
        <v>7</v>
      </c>
      <c r="S25" s="121">
        <f t="shared" si="10"/>
        <v>0</v>
      </c>
      <c r="T25" s="98">
        <f t="shared" si="11"/>
        <v>0</v>
      </c>
      <c r="U25" s="13" t="str">
        <f t="shared" si="12"/>
        <v>SEM VALOR</v>
      </c>
      <c r="V25" s="4" t="str">
        <f ca="1">IF(OR($A25=0,$A25="S",$A25&gt;CFF!$A$9),"",MAX(V$12:OFFSET(V25,-1,0))+1)</f>
        <v/>
      </c>
      <c r="W25" s="9" t="str">
        <f t="shared" si="13"/>
        <v>SEE/MG-010008</v>
      </c>
      <c r="X25" s="4" t="e">
        <f t="shared" ca="1" si="14"/>
        <v>#REF!</v>
      </c>
      <c r="Y25" s="121">
        <v>1.327456</v>
      </c>
      <c r="Z25" s="132">
        <f ca="1">ROUND(IF(ISNUMBER(R25),R25,IF(LEFT(R25,3)="BDI",HLOOKUP(R25,DADOS!$T$37:$X$38,2,FALSE),0)),15-11*$X$5)</f>
        <v>0.27639999999999998</v>
      </c>
      <c r="AA25" s="4"/>
    </row>
    <row r="26" spans="1:27" x14ac:dyDescent="0.2">
      <c r="A26">
        <f t="shared" si="0"/>
        <v>2</v>
      </c>
      <c r="B26">
        <f t="shared" ca="1" si="1"/>
        <v>5</v>
      </c>
      <c r="C26">
        <f t="shared" ca="1" si="2"/>
        <v>1</v>
      </c>
      <c r="D26">
        <f t="shared" ca="1" si="3"/>
        <v>3</v>
      </c>
      <c r="E26">
        <f t="shared" ca="1" si="4"/>
        <v>0</v>
      </c>
      <c r="F26">
        <f t="shared" ca="1" si="5"/>
        <v>0</v>
      </c>
      <c r="G26">
        <f t="shared" ca="1" si="6"/>
        <v>0</v>
      </c>
      <c r="H26">
        <f t="shared" ca="1" si="7"/>
        <v>201</v>
      </c>
      <c r="I26">
        <f t="shared" ca="1" si="8"/>
        <v>5</v>
      </c>
      <c r="J26" s="394" t="s">
        <v>100</v>
      </c>
      <c r="K26" s="162" t="str">
        <f t="shared" ca="1" si="9"/>
        <v>1.3.</v>
      </c>
      <c r="L26" s="395"/>
      <c r="M26" s="395"/>
      <c r="N26" s="397" t="s">
        <v>261</v>
      </c>
      <c r="O26" s="398" t="s">
        <v>106</v>
      </c>
      <c r="P26" s="399">
        <v>0</v>
      </c>
      <c r="Q26" s="228"/>
      <c r="R26" s="231" t="s">
        <v>7</v>
      </c>
      <c r="S26" s="121">
        <f t="shared" si="10"/>
        <v>0</v>
      </c>
      <c r="T26" s="98">
        <f t="shared" ca="1" si="11"/>
        <v>0</v>
      </c>
      <c r="U26" s="13" t="str">
        <f t="shared" ca="1" si="12"/>
        <v>SEM VALOR</v>
      </c>
      <c r="V26" s="4">
        <f ca="1">IF(OR($A26=0,$A26="S",$A26&gt;CFF!$A$9),"",MAX(V$12:OFFSET(V26,-1,0))+1)</f>
        <v>4</v>
      </c>
      <c r="W26" s="9" t="b">
        <f t="shared" si="13"/>
        <v>0</v>
      </c>
      <c r="X26" s="4" t="str">
        <f t="shared" ca="1" si="14"/>
        <v>X</v>
      </c>
      <c r="Y26" s="121">
        <v>0</v>
      </c>
      <c r="Z26" s="132">
        <f ca="1">ROUND(IF(ISNUMBER(R26),R26,IF(LEFT(R26,3)="BDI",HLOOKUP(R26,DADOS!$T$37:$X$38,2,FALSE),0)),15-11*$X$5)</f>
        <v>0.27639999999999998</v>
      </c>
      <c r="AA26" s="4"/>
    </row>
    <row r="27" spans="1:27" x14ac:dyDescent="0.2">
      <c r="A27" t="str">
        <f t="shared" si="0"/>
        <v>S</v>
      </c>
      <c r="B27">
        <f t="shared" si="1"/>
        <v>0</v>
      </c>
      <c r="C27">
        <f t="shared" ca="1" si="2"/>
        <v>1</v>
      </c>
      <c r="D27">
        <f t="shared" ca="1" si="3"/>
        <v>3</v>
      </c>
      <c r="E27">
        <f t="shared" ca="1" si="4"/>
        <v>0</v>
      </c>
      <c r="F27">
        <f t="shared" ca="1" si="5"/>
        <v>0</v>
      </c>
      <c r="G27">
        <f t="shared" ca="1" si="6"/>
        <v>1</v>
      </c>
      <c r="H27">
        <f t="shared" ca="1" si="7"/>
        <v>0</v>
      </c>
      <c r="I27">
        <f t="shared" ca="1" si="8"/>
        <v>0</v>
      </c>
      <c r="J27" s="394" t="s">
        <v>103</v>
      </c>
      <c r="K27" s="162" t="str">
        <f t="shared" ca="1" si="9"/>
        <v>1.3.0.0.1.</v>
      </c>
      <c r="L27" s="395" t="s">
        <v>236</v>
      </c>
      <c r="M27" s="395" t="s">
        <v>266</v>
      </c>
      <c r="N27" s="397" t="s">
        <v>262</v>
      </c>
      <c r="O27" s="398" t="s">
        <v>270</v>
      </c>
      <c r="P27" s="399">
        <v>168.5</v>
      </c>
      <c r="Q27" s="228"/>
      <c r="R27" s="231" t="s">
        <v>7</v>
      </c>
      <c r="S27" s="121">
        <f t="shared" si="10"/>
        <v>0</v>
      </c>
      <c r="T27" s="98">
        <f t="shared" si="11"/>
        <v>0</v>
      </c>
      <c r="U27" s="13" t="str">
        <f t="shared" si="12"/>
        <v>SEM VALOR</v>
      </c>
      <c r="V27" s="4" t="str">
        <f ca="1">IF(OR($A27=0,$A27="S",$A27&gt;CFF!$A$9),"",MAX(V$12:OFFSET(V27,-1,0))+1)</f>
        <v/>
      </c>
      <c r="W27" s="9" t="str">
        <f t="shared" si="13"/>
        <v>SEE/MG-020001</v>
      </c>
      <c r="X27" s="4" t="e">
        <f t="shared" ca="1" si="14"/>
        <v>#REF!</v>
      </c>
      <c r="Y27" s="121">
        <v>68.172523999999996</v>
      </c>
      <c r="Z27" s="132">
        <f ca="1">ROUND(IF(ISNUMBER(R27),R27,IF(LEFT(R27,3)="BDI",HLOOKUP(R27,DADOS!$T$37:$X$38,2,FALSE),0)),15-11*$X$5)</f>
        <v>0.27639999999999998</v>
      </c>
      <c r="AA27" s="4"/>
    </row>
    <row r="28" spans="1:27" x14ac:dyDescent="0.2">
      <c r="A28" t="str">
        <f t="shared" si="0"/>
        <v>S</v>
      </c>
      <c r="B28">
        <f t="shared" si="1"/>
        <v>0</v>
      </c>
      <c r="C28">
        <f t="shared" ca="1" si="2"/>
        <v>1</v>
      </c>
      <c r="D28">
        <f t="shared" ca="1" si="3"/>
        <v>3</v>
      </c>
      <c r="E28">
        <f t="shared" ca="1" si="4"/>
        <v>0</v>
      </c>
      <c r="F28">
        <f t="shared" ca="1" si="5"/>
        <v>0</v>
      </c>
      <c r="G28">
        <f t="shared" ca="1" si="6"/>
        <v>2</v>
      </c>
      <c r="H28">
        <f t="shared" ca="1" si="7"/>
        <v>0</v>
      </c>
      <c r="I28">
        <f t="shared" ca="1" si="8"/>
        <v>0</v>
      </c>
      <c r="J28" s="394" t="s">
        <v>103</v>
      </c>
      <c r="K28" s="162" t="str">
        <f t="shared" ca="1" si="9"/>
        <v>1.3.0.0.2.</v>
      </c>
      <c r="L28" s="395" t="s">
        <v>236</v>
      </c>
      <c r="M28" s="395" t="s">
        <v>267</v>
      </c>
      <c r="N28" s="397" t="s">
        <v>263</v>
      </c>
      <c r="O28" s="398" t="s">
        <v>270</v>
      </c>
      <c r="P28" s="399">
        <v>94.33</v>
      </c>
      <c r="Q28" s="228"/>
      <c r="R28" s="231" t="s">
        <v>7</v>
      </c>
      <c r="S28" s="121">
        <f t="shared" si="10"/>
        <v>0</v>
      </c>
      <c r="T28" s="98">
        <f t="shared" si="11"/>
        <v>0</v>
      </c>
      <c r="U28" s="13" t="str">
        <f t="shared" si="12"/>
        <v>SEM VALOR</v>
      </c>
      <c r="V28" s="4" t="str">
        <f ca="1">IF(OR($A28=0,$A28="S",$A28&gt;CFF!$A$9),"",MAX(V$12:OFFSET(V28,-1,0))+1)</f>
        <v/>
      </c>
      <c r="W28" s="9" t="str">
        <f t="shared" si="13"/>
        <v>SEE/MG-020002</v>
      </c>
      <c r="X28" s="4" t="e">
        <f t="shared" ca="1" si="14"/>
        <v>#REF!</v>
      </c>
      <c r="Y28" s="121">
        <v>68.172523999999996</v>
      </c>
      <c r="Z28" s="132">
        <f ca="1">ROUND(IF(ISNUMBER(R28),R28,IF(LEFT(R28,3)="BDI",HLOOKUP(R28,DADOS!$T$37:$X$38,2,FALSE),0)),15-11*$X$5)</f>
        <v>0.27639999999999998</v>
      </c>
      <c r="AA28" s="4"/>
    </row>
    <row r="29" spans="1:27" x14ac:dyDescent="0.2">
      <c r="A29" t="str">
        <f t="shared" si="0"/>
        <v>S</v>
      </c>
      <c r="B29">
        <f t="shared" si="1"/>
        <v>0</v>
      </c>
      <c r="C29">
        <f t="shared" ca="1" si="2"/>
        <v>1</v>
      </c>
      <c r="D29">
        <f t="shared" ca="1" si="3"/>
        <v>3</v>
      </c>
      <c r="E29">
        <f t="shared" ca="1" si="4"/>
        <v>0</v>
      </c>
      <c r="F29">
        <f t="shared" ca="1" si="5"/>
        <v>0</v>
      </c>
      <c r="G29">
        <f t="shared" ca="1" si="6"/>
        <v>3</v>
      </c>
      <c r="H29">
        <f t="shared" ca="1" si="7"/>
        <v>0</v>
      </c>
      <c r="I29">
        <f t="shared" ca="1" si="8"/>
        <v>0</v>
      </c>
      <c r="J29" s="394" t="s">
        <v>103</v>
      </c>
      <c r="K29" s="162" t="str">
        <f t="shared" ca="1" si="9"/>
        <v>1.3.0.0.3.</v>
      </c>
      <c r="L29" s="395" t="s">
        <v>236</v>
      </c>
      <c r="M29" s="395" t="s">
        <v>268</v>
      </c>
      <c r="N29" s="397" t="s">
        <v>264</v>
      </c>
      <c r="O29" s="398" t="s">
        <v>260</v>
      </c>
      <c r="P29" s="399">
        <v>148.58000000000001</v>
      </c>
      <c r="Q29" s="228"/>
      <c r="R29" s="231" t="s">
        <v>7</v>
      </c>
      <c r="S29" s="121">
        <f t="shared" si="10"/>
        <v>0</v>
      </c>
      <c r="T29" s="98">
        <f t="shared" si="11"/>
        <v>0</v>
      </c>
      <c r="U29" s="13" t="str">
        <f t="shared" si="12"/>
        <v>SEM VALOR</v>
      </c>
      <c r="V29" s="4" t="str">
        <f ca="1">IF(OR($A29=0,$A29="S",$A29&gt;CFF!$A$9),"",MAX(V$12:OFFSET(V29,-1,0))+1)</f>
        <v/>
      </c>
      <c r="W29" s="9" t="str">
        <f t="shared" si="13"/>
        <v>SEE/MG-020003</v>
      </c>
      <c r="X29" s="4" t="e">
        <f t="shared" ca="1" si="14"/>
        <v>#REF!</v>
      </c>
      <c r="Y29" s="121">
        <v>23.051784000000001</v>
      </c>
      <c r="Z29" s="132">
        <f ca="1">ROUND(IF(ISNUMBER(R29),R29,IF(LEFT(R29,3)="BDI",HLOOKUP(R29,DADOS!$T$37:$X$38,2,FALSE),0)),15-11*$X$5)</f>
        <v>0.27639999999999998</v>
      </c>
      <c r="AA29" s="4"/>
    </row>
    <row r="30" spans="1:27" x14ac:dyDescent="0.2">
      <c r="A30" t="str">
        <f t="shared" si="0"/>
        <v>S</v>
      </c>
      <c r="B30">
        <f t="shared" si="1"/>
        <v>0</v>
      </c>
      <c r="C30">
        <f t="shared" ca="1" si="2"/>
        <v>1</v>
      </c>
      <c r="D30">
        <f t="shared" ca="1" si="3"/>
        <v>3</v>
      </c>
      <c r="E30">
        <f t="shared" ca="1" si="4"/>
        <v>0</v>
      </c>
      <c r="F30">
        <f t="shared" ca="1" si="5"/>
        <v>0</v>
      </c>
      <c r="G30">
        <f t="shared" ca="1" si="6"/>
        <v>4</v>
      </c>
      <c r="H30">
        <f t="shared" ca="1" si="7"/>
        <v>0</v>
      </c>
      <c r="I30">
        <f t="shared" ca="1" si="8"/>
        <v>0</v>
      </c>
      <c r="J30" s="394" t="s">
        <v>103</v>
      </c>
      <c r="K30" s="162" t="str">
        <f t="shared" ca="1" si="9"/>
        <v>1.3.0.0.4.</v>
      </c>
      <c r="L30" s="395" t="s">
        <v>236</v>
      </c>
      <c r="M30" s="395" t="s">
        <v>269</v>
      </c>
      <c r="N30" s="397" t="s">
        <v>265</v>
      </c>
      <c r="O30" s="398" t="s">
        <v>270</v>
      </c>
      <c r="P30" s="399">
        <v>55.58</v>
      </c>
      <c r="Q30" s="228"/>
      <c r="R30" s="231" t="s">
        <v>7</v>
      </c>
      <c r="S30" s="121">
        <f t="shared" si="10"/>
        <v>0</v>
      </c>
      <c r="T30" s="98">
        <f t="shared" si="11"/>
        <v>0</v>
      </c>
      <c r="U30" s="13" t="str">
        <f t="shared" si="12"/>
        <v>SEM VALOR</v>
      </c>
      <c r="V30" s="4" t="str">
        <f ca="1">IF(OR($A30=0,$A30="S",$A30&gt;CFF!$A$9),"",MAX(V$12:OFFSET(V30,-1,0))+1)</f>
        <v/>
      </c>
      <c r="W30" s="9" t="str">
        <f t="shared" si="13"/>
        <v>SEE/MG-020004</v>
      </c>
      <c r="X30" s="4" t="e">
        <f t="shared" ca="1" si="14"/>
        <v>#REF!</v>
      </c>
      <c r="Y30" s="121">
        <v>68.172523999999996</v>
      </c>
      <c r="Z30" s="132">
        <f ca="1">ROUND(IF(ISNUMBER(R30),R30,IF(LEFT(R30,3)="BDI",HLOOKUP(R30,DADOS!$T$37:$X$38,2,FALSE),0)),15-11*$X$5)</f>
        <v>0.27639999999999998</v>
      </c>
      <c r="AA30" s="4"/>
    </row>
    <row r="31" spans="1:27" x14ac:dyDescent="0.2">
      <c r="A31">
        <f t="shared" si="0"/>
        <v>2</v>
      </c>
      <c r="B31">
        <f t="shared" ca="1" si="1"/>
        <v>14</v>
      </c>
      <c r="C31">
        <f t="shared" ca="1" si="2"/>
        <v>1</v>
      </c>
      <c r="D31">
        <f t="shared" ca="1" si="3"/>
        <v>4</v>
      </c>
      <c r="E31">
        <f t="shared" ca="1" si="4"/>
        <v>0</v>
      </c>
      <c r="F31">
        <f t="shared" ca="1" si="5"/>
        <v>0</v>
      </c>
      <c r="G31">
        <f t="shared" ca="1" si="6"/>
        <v>0</v>
      </c>
      <c r="H31">
        <f t="shared" ca="1" si="7"/>
        <v>196</v>
      </c>
      <c r="I31">
        <f t="shared" ca="1" si="8"/>
        <v>14</v>
      </c>
      <c r="J31" s="394" t="s">
        <v>100</v>
      </c>
      <c r="K31" s="162" t="str">
        <f t="shared" ca="1" si="9"/>
        <v>1.4.</v>
      </c>
      <c r="L31" s="395"/>
      <c r="M31" s="395"/>
      <c r="N31" s="397" t="s">
        <v>271</v>
      </c>
      <c r="O31" s="398" t="s">
        <v>106</v>
      </c>
      <c r="P31" s="399">
        <v>0</v>
      </c>
      <c r="Q31" s="228"/>
      <c r="R31" s="231" t="s">
        <v>7</v>
      </c>
      <c r="S31" s="121">
        <f t="shared" si="10"/>
        <v>0</v>
      </c>
      <c r="T31" s="98">
        <f t="shared" ca="1" si="11"/>
        <v>0</v>
      </c>
      <c r="U31" s="13" t="str">
        <f t="shared" ca="1" si="12"/>
        <v>SEM VALOR</v>
      </c>
      <c r="V31" s="4">
        <f ca="1">IF(OR($A31=0,$A31="S",$A31&gt;CFF!$A$9),"",MAX(V$12:OFFSET(V31,-1,0))+1)</f>
        <v>5</v>
      </c>
      <c r="W31" s="9" t="b">
        <f t="shared" si="13"/>
        <v>0</v>
      </c>
      <c r="X31" s="4" t="str">
        <f t="shared" ca="1" si="14"/>
        <v>X</v>
      </c>
      <c r="Y31" s="121">
        <v>0</v>
      </c>
      <c r="Z31" s="132">
        <f ca="1">ROUND(IF(ISNUMBER(R31),R31,IF(LEFT(R31,3)="BDI",HLOOKUP(R31,DADOS!$T$37:$X$38,2,FALSE),0)),15-11*$X$5)</f>
        <v>0.27639999999999998</v>
      </c>
      <c r="AA31" s="4"/>
    </row>
    <row r="32" spans="1:27" x14ac:dyDescent="0.2">
      <c r="A32">
        <f t="shared" si="0"/>
        <v>3</v>
      </c>
      <c r="B32">
        <f t="shared" ca="1" si="1"/>
        <v>4</v>
      </c>
      <c r="C32">
        <f t="shared" ca="1" si="2"/>
        <v>1</v>
      </c>
      <c r="D32">
        <f t="shared" ca="1" si="3"/>
        <v>4</v>
      </c>
      <c r="E32">
        <f t="shared" ca="1" si="4"/>
        <v>1</v>
      </c>
      <c r="F32">
        <f t="shared" ca="1" si="5"/>
        <v>0</v>
      </c>
      <c r="G32">
        <f t="shared" ca="1" si="6"/>
        <v>0</v>
      </c>
      <c r="H32">
        <f t="shared" ca="1" si="7"/>
        <v>13</v>
      </c>
      <c r="I32">
        <f t="shared" ca="1" si="8"/>
        <v>4</v>
      </c>
      <c r="J32" s="394" t="s">
        <v>101</v>
      </c>
      <c r="K32" s="162" t="str">
        <f t="shared" ca="1" si="9"/>
        <v>1.4.1.</v>
      </c>
      <c r="L32" s="395"/>
      <c r="M32" s="395"/>
      <c r="N32" s="397" t="s">
        <v>272</v>
      </c>
      <c r="O32" s="398" t="s">
        <v>106</v>
      </c>
      <c r="P32" s="399">
        <v>0</v>
      </c>
      <c r="Q32" s="228"/>
      <c r="R32" s="231" t="s">
        <v>7</v>
      </c>
      <c r="S32" s="121">
        <f t="shared" si="10"/>
        <v>0</v>
      </c>
      <c r="T32" s="98">
        <f t="shared" ca="1" si="11"/>
        <v>0</v>
      </c>
      <c r="U32" s="13" t="str">
        <f t="shared" ca="1" si="12"/>
        <v>SEM VALOR</v>
      </c>
      <c r="V32" s="4" t="str">
        <f ca="1">IF(OR($A32=0,$A32="S",$A32&gt;CFF!$A$9),"",MAX(V$12:OFFSET(V32,-1,0))+1)</f>
        <v/>
      </c>
      <c r="W32" s="9" t="b">
        <f t="shared" si="13"/>
        <v>0</v>
      </c>
      <c r="X32" s="4" t="str">
        <f t="shared" ca="1" si="14"/>
        <v>X</v>
      </c>
      <c r="Y32" s="121">
        <v>0</v>
      </c>
      <c r="Z32" s="132">
        <f ca="1">ROUND(IF(ISNUMBER(R32),R32,IF(LEFT(R32,3)="BDI",HLOOKUP(R32,DADOS!$T$37:$X$38,2,FALSE),0)),15-11*$X$5)</f>
        <v>0.27639999999999998</v>
      </c>
      <c r="AA32" s="4"/>
    </row>
    <row r="33" spans="1:27" x14ac:dyDescent="0.2">
      <c r="A33" t="str">
        <f t="shared" si="0"/>
        <v>S</v>
      </c>
      <c r="B33">
        <f t="shared" si="1"/>
        <v>0</v>
      </c>
      <c r="C33">
        <f t="shared" ca="1" si="2"/>
        <v>1</v>
      </c>
      <c r="D33">
        <f t="shared" ca="1" si="3"/>
        <v>4</v>
      </c>
      <c r="E33">
        <f t="shared" ca="1" si="4"/>
        <v>1</v>
      </c>
      <c r="F33">
        <f t="shared" ca="1" si="5"/>
        <v>0</v>
      </c>
      <c r="G33">
        <f t="shared" ca="1" si="6"/>
        <v>1</v>
      </c>
      <c r="H33">
        <f t="shared" ca="1" si="7"/>
        <v>0</v>
      </c>
      <c r="I33">
        <f t="shared" ca="1" si="8"/>
        <v>0</v>
      </c>
      <c r="J33" s="394" t="s">
        <v>103</v>
      </c>
      <c r="K33" s="162" t="str">
        <f t="shared" ca="1" si="9"/>
        <v>1.4.1.0.1.</v>
      </c>
      <c r="L33" s="395" t="s">
        <v>236</v>
      </c>
      <c r="M33" s="395" t="s">
        <v>273</v>
      </c>
      <c r="N33" s="397" t="s">
        <v>274</v>
      </c>
      <c r="O33" s="398" t="s">
        <v>275</v>
      </c>
      <c r="P33" s="399">
        <v>441</v>
      </c>
      <c r="Q33" s="228"/>
      <c r="R33" s="231" t="s">
        <v>7</v>
      </c>
      <c r="S33" s="121">
        <f t="shared" si="10"/>
        <v>0</v>
      </c>
      <c r="T33" s="98">
        <f t="shared" si="11"/>
        <v>0</v>
      </c>
      <c r="U33" s="13" t="str">
        <f t="shared" si="12"/>
        <v>SEM VALOR</v>
      </c>
      <c r="V33" s="4" t="str">
        <f ca="1">IF(OR($A33=0,$A33="S",$A33&gt;CFF!$A$9),"",MAX(V$12:OFFSET(V33,-1,0))+1)</f>
        <v/>
      </c>
      <c r="W33" s="9" t="str">
        <f t="shared" si="13"/>
        <v>SEE/MG-030001</v>
      </c>
      <c r="X33" s="4" t="e">
        <f t="shared" ca="1" si="14"/>
        <v>#REF!</v>
      </c>
      <c r="Y33" s="121">
        <v>65.402736000000004</v>
      </c>
      <c r="Z33" s="132">
        <f ca="1">ROUND(IF(ISNUMBER(R33),R33,IF(LEFT(R33,3)="BDI",HLOOKUP(R33,DADOS!$T$37:$X$38,2,FALSE),0)),15-11*$X$5)</f>
        <v>0.27639999999999998</v>
      </c>
      <c r="AA33" s="4"/>
    </row>
    <row r="34" spans="1:27" x14ac:dyDescent="0.2">
      <c r="A34" t="str">
        <f t="shared" si="0"/>
        <v>S</v>
      </c>
      <c r="B34">
        <f t="shared" si="1"/>
        <v>0</v>
      </c>
      <c r="C34">
        <f t="shared" ca="1" si="2"/>
        <v>1</v>
      </c>
      <c r="D34">
        <f t="shared" ca="1" si="3"/>
        <v>4</v>
      </c>
      <c r="E34">
        <f t="shared" ca="1" si="4"/>
        <v>1</v>
      </c>
      <c r="F34">
        <f t="shared" ca="1" si="5"/>
        <v>0</v>
      </c>
      <c r="G34">
        <f t="shared" ca="1" si="6"/>
        <v>2</v>
      </c>
      <c r="H34">
        <f t="shared" ca="1" si="7"/>
        <v>0</v>
      </c>
      <c r="I34">
        <f t="shared" ca="1" si="8"/>
        <v>0</v>
      </c>
      <c r="J34" s="394" t="s">
        <v>103</v>
      </c>
      <c r="K34" s="162" t="str">
        <f t="shared" ca="1" si="9"/>
        <v>1.4.1.0.2.</v>
      </c>
      <c r="L34" s="395" t="s">
        <v>236</v>
      </c>
      <c r="M34" s="395" t="s">
        <v>276</v>
      </c>
      <c r="N34" s="397" t="s">
        <v>277</v>
      </c>
      <c r="O34" s="398" t="s">
        <v>260</v>
      </c>
      <c r="P34" s="399">
        <v>61.88</v>
      </c>
      <c r="Q34" s="228"/>
      <c r="R34" s="231" t="s">
        <v>7</v>
      </c>
      <c r="S34" s="121">
        <f t="shared" si="10"/>
        <v>0</v>
      </c>
      <c r="T34" s="98">
        <f t="shared" si="11"/>
        <v>0</v>
      </c>
      <c r="U34" s="13" t="str">
        <f t="shared" si="12"/>
        <v>SEM VALOR</v>
      </c>
      <c r="V34" s="4" t="str">
        <f ca="1">IF(OR($A34=0,$A34="S",$A34&gt;CFF!$A$9),"",MAX(V$12:OFFSET(V34,-1,0))+1)</f>
        <v/>
      </c>
      <c r="W34" s="9" t="str">
        <f t="shared" si="13"/>
        <v>SEE/MG-030002</v>
      </c>
      <c r="X34" s="4" t="e">
        <f t="shared" ca="1" si="14"/>
        <v>#REF!</v>
      </c>
      <c r="Y34" s="121">
        <v>57.412472000000001</v>
      </c>
      <c r="Z34" s="132">
        <f ca="1">ROUND(IF(ISNUMBER(R34),R34,IF(LEFT(R34,3)="BDI",HLOOKUP(R34,DADOS!$T$37:$X$38,2,FALSE),0)),15-11*$X$5)</f>
        <v>0.27639999999999998</v>
      </c>
      <c r="AA34" s="4"/>
    </row>
    <row r="35" spans="1:27" x14ac:dyDescent="0.2">
      <c r="A35" t="str">
        <f t="shared" si="0"/>
        <v>S</v>
      </c>
      <c r="B35">
        <f t="shared" si="1"/>
        <v>0</v>
      </c>
      <c r="C35">
        <f t="shared" ca="1" si="2"/>
        <v>1</v>
      </c>
      <c r="D35">
        <f t="shared" ca="1" si="3"/>
        <v>4</v>
      </c>
      <c r="E35">
        <f t="shared" ca="1" si="4"/>
        <v>1</v>
      </c>
      <c r="F35">
        <f t="shared" ca="1" si="5"/>
        <v>0</v>
      </c>
      <c r="G35">
        <f t="shared" ca="1" si="6"/>
        <v>3</v>
      </c>
      <c r="H35">
        <f t="shared" ca="1" si="7"/>
        <v>0</v>
      </c>
      <c r="I35">
        <f t="shared" ca="1" si="8"/>
        <v>0</v>
      </c>
      <c r="J35" s="394" t="s">
        <v>103</v>
      </c>
      <c r="K35" s="162" t="str">
        <f t="shared" ca="1" si="9"/>
        <v>1.4.1.0.3.</v>
      </c>
      <c r="L35" s="395" t="s">
        <v>236</v>
      </c>
      <c r="M35" s="395" t="s">
        <v>278</v>
      </c>
      <c r="N35" s="397" t="s">
        <v>279</v>
      </c>
      <c r="O35" s="398" t="s">
        <v>260</v>
      </c>
      <c r="P35" s="399">
        <v>165.15</v>
      </c>
      <c r="Q35" s="228"/>
      <c r="R35" s="231" t="s">
        <v>7</v>
      </c>
      <c r="S35" s="121">
        <f t="shared" si="10"/>
        <v>0</v>
      </c>
      <c r="T35" s="98">
        <f t="shared" si="11"/>
        <v>0</v>
      </c>
      <c r="U35" s="13" t="str">
        <f t="shared" si="12"/>
        <v>SEM VALOR</v>
      </c>
      <c r="V35" s="4" t="str">
        <f ca="1">IF(OR($A35=0,$A35="S",$A35&gt;CFF!$A$9),"",MAX(V$12:OFFSET(V35,-1,0))+1)</f>
        <v/>
      </c>
      <c r="W35" s="9" t="str">
        <f t="shared" si="13"/>
        <v>SEE/MG-030003</v>
      </c>
      <c r="X35" s="4" t="e">
        <f t="shared" ca="1" si="14"/>
        <v>#REF!</v>
      </c>
      <c r="Y35" s="121">
        <v>60.029091999999999</v>
      </c>
      <c r="Z35" s="132">
        <f ca="1">ROUND(IF(ISNUMBER(R35),R35,IF(LEFT(R35,3)="BDI",HLOOKUP(R35,DADOS!$T$37:$X$38,2,FALSE),0)),15-11*$X$5)</f>
        <v>0.27639999999999998</v>
      </c>
      <c r="AA35" s="4"/>
    </row>
    <row r="36" spans="1:27" x14ac:dyDescent="0.2">
      <c r="A36">
        <f t="shared" si="0"/>
        <v>3</v>
      </c>
      <c r="B36">
        <f t="shared" ca="1" si="1"/>
        <v>4</v>
      </c>
      <c r="C36">
        <f t="shared" ca="1" si="2"/>
        <v>1</v>
      </c>
      <c r="D36">
        <f t="shared" ca="1" si="3"/>
        <v>4</v>
      </c>
      <c r="E36">
        <f t="shared" ca="1" si="4"/>
        <v>2</v>
      </c>
      <c r="F36">
        <f t="shared" ca="1" si="5"/>
        <v>0</v>
      </c>
      <c r="G36">
        <f t="shared" ca="1" si="6"/>
        <v>0</v>
      </c>
      <c r="H36">
        <f t="shared" ca="1" si="7"/>
        <v>9</v>
      </c>
      <c r="I36">
        <f t="shared" ca="1" si="8"/>
        <v>4</v>
      </c>
      <c r="J36" s="394" t="s">
        <v>101</v>
      </c>
      <c r="K36" s="162" t="str">
        <f t="shared" ca="1" si="9"/>
        <v>1.4.2.</v>
      </c>
      <c r="L36" s="395"/>
      <c r="M36" s="395"/>
      <c r="N36" s="397" t="s">
        <v>280</v>
      </c>
      <c r="O36" s="398"/>
      <c r="P36" s="399"/>
      <c r="Q36" s="228"/>
      <c r="R36" s="231" t="s">
        <v>7</v>
      </c>
      <c r="S36" s="121">
        <f t="shared" si="10"/>
        <v>0</v>
      </c>
      <c r="T36" s="98">
        <f t="shared" ca="1" si="11"/>
        <v>0</v>
      </c>
      <c r="U36" s="13" t="str">
        <f t="shared" ca="1" si="12"/>
        <v>SEM VALOR</v>
      </c>
      <c r="V36" s="4" t="str">
        <f ca="1">IF(OR($A36=0,$A36="S",$A36&gt;CFF!$A$9),"",MAX(V$12:OFFSET(V36,-1,0))+1)</f>
        <v/>
      </c>
      <c r="W36" s="9" t="b">
        <f t="shared" si="13"/>
        <v>0</v>
      </c>
      <c r="X36" s="4" t="str">
        <f t="shared" ca="1" si="14"/>
        <v>X</v>
      </c>
      <c r="Y36" s="121">
        <v>0</v>
      </c>
      <c r="Z36" s="132">
        <f ca="1">ROUND(IF(ISNUMBER(R36),R36,IF(LEFT(R36,3)="BDI",HLOOKUP(R36,DADOS!$T$37:$X$38,2,FALSE),0)),15-11*$X$5)</f>
        <v>0.27639999999999998</v>
      </c>
      <c r="AA36" s="4"/>
    </row>
    <row r="37" spans="1:27" x14ac:dyDescent="0.2">
      <c r="A37" t="str">
        <f t="shared" si="0"/>
        <v>S</v>
      </c>
      <c r="B37">
        <f t="shared" si="1"/>
        <v>0</v>
      </c>
      <c r="C37">
        <f t="shared" ca="1" si="2"/>
        <v>1</v>
      </c>
      <c r="D37">
        <f t="shared" ca="1" si="3"/>
        <v>4</v>
      </c>
      <c r="E37">
        <f t="shared" ca="1" si="4"/>
        <v>2</v>
      </c>
      <c r="F37">
        <f t="shared" ca="1" si="5"/>
        <v>0</v>
      </c>
      <c r="G37">
        <f t="shared" ca="1" si="6"/>
        <v>1</v>
      </c>
      <c r="H37">
        <f t="shared" ca="1" si="7"/>
        <v>0</v>
      </c>
      <c r="I37">
        <f t="shared" ca="1" si="8"/>
        <v>0</v>
      </c>
      <c r="J37" s="394" t="s">
        <v>103</v>
      </c>
      <c r="K37" s="162" t="str">
        <f t="shared" ca="1" si="9"/>
        <v>1.4.2.0.1.</v>
      </c>
      <c r="L37" s="395" t="s">
        <v>236</v>
      </c>
      <c r="M37" s="395" t="s">
        <v>281</v>
      </c>
      <c r="N37" s="397" t="s">
        <v>279</v>
      </c>
      <c r="O37" s="398" t="s">
        <v>260</v>
      </c>
      <c r="P37" s="399">
        <v>463.48</v>
      </c>
      <c r="Q37" s="228"/>
      <c r="R37" s="231" t="s">
        <v>7</v>
      </c>
      <c r="S37" s="121">
        <f t="shared" si="10"/>
        <v>0</v>
      </c>
      <c r="T37" s="98">
        <f t="shared" si="11"/>
        <v>0</v>
      </c>
      <c r="U37" s="13" t="str">
        <f t="shared" si="12"/>
        <v>SEM VALOR</v>
      </c>
      <c r="V37" s="4" t="str">
        <f ca="1">IF(OR($A37=0,$A37="S",$A37&gt;CFF!$A$9),"",MAX(V$12:OFFSET(V37,-1,0))+1)</f>
        <v/>
      </c>
      <c r="W37" s="9" t="str">
        <f t="shared" si="13"/>
        <v>SEE/MG-030004</v>
      </c>
      <c r="X37" s="4" t="e">
        <f t="shared" ca="1" si="14"/>
        <v>#REF!</v>
      </c>
      <c r="Y37" s="121">
        <v>60.029091999999999</v>
      </c>
      <c r="Z37" s="132">
        <f ca="1">ROUND(IF(ISNUMBER(R37),R37,IF(LEFT(R37,3)="BDI",HLOOKUP(R37,DADOS!$T$37:$X$38,2,FALSE),0)),15-11*$X$5)</f>
        <v>0.27639999999999998</v>
      </c>
      <c r="AA37" s="4"/>
    </row>
    <row r="38" spans="1:27" x14ac:dyDescent="0.2">
      <c r="A38" t="str">
        <f t="shared" si="0"/>
        <v>S</v>
      </c>
      <c r="B38">
        <f t="shared" si="1"/>
        <v>0</v>
      </c>
      <c r="C38">
        <f t="shared" ca="1" si="2"/>
        <v>1</v>
      </c>
      <c r="D38">
        <f t="shared" ca="1" si="3"/>
        <v>4</v>
      </c>
      <c r="E38">
        <f t="shared" ca="1" si="4"/>
        <v>2</v>
      </c>
      <c r="F38">
        <f t="shared" ca="1" si="5"/>
        <v>0</v>
      </c>
      <c r="G38">
        <f t="shared" ca="1" si="6"/>
        <v>2</v>
      </c>
      <c r="H38">
        <f t="shared" ca="1" si="7"/>
        <v>0</v>
      </c>
      <c r="I38">
        <f t="shared" ca="1" si="8"/>
        <v>0</v>
      </c>
      <c r="J38" s="394" t="s">
        <v>103</v>
      </c>
      <c r="K38" s="162" t="str">
        <f t="shared" ca="1" si="9"/>
        <v>1.4.2.0.2.</v>
      </c>
      <c r="L38" s="395" t="s">
        <v>236</v>
      </c>
      <c r="M38" s="395" t="s">
        <v>282</v>
      </c>
      <c r="N38" s="397" t="s">
        <v>291</v>
      </c>
      <c r="O38" s="398" t="s">
        <v>283</v>
      </c>
      <c r="P38" s="399">
        <v>1326.37</v>
      </c>
      <c r="Q38" s="228"/>
      <c r="R38" s="231" t="s">
        <v>7</v>
      </c>
      <c r="S38" s="121">
        <f t="shared" si="10"/>
        <v>0</v>
      </c>
      <c r="T38" s="98">
        <f t="shared" si="11"/>
        <v>0</v>
      </c>
      <c r="U38" s="13" t="str">
        <f t="shared" si="12"/>
        <v>SEM VALOR</v>
      </c>
      <c r="V38" s="4" t="str">
        <f ca="1">IF(OR($A38=0,$A38="S",$A38&gt;CFF!$A$9),"",MAX(V$12:OFFSET(V38,-1,0))+1)</f>
        <v/>
      </c>
      <c r="W38" s="9" t="str">
        <f t="shared" si="13"/>
        <v>SEE/MG-030005</v>
      </c>
      <c r="X38" s="4" t="e">
        <f t="shared" ca="1" si="14"/>
        <v>#REF!</v>
      </c>
      <c r="Y38" s="121">
        <v>16.937828</v>
      </c>
      <c r="Z38" s="132">
        <f ca="1">ROUND(IF(ISNUMBER(R38),R38,IF(LEFT(R38,3)="BDI",HLOOKUP(R38,DADOS!$T$37:$X$38,2,FALSE),0)),15-11*$X$5)</f>
        <v>0.27639999999999998</v>
      </c>
      <c r="AA38" s="4"/>
    </row>
    <row r="39" spans="1:27" x14ac:dyDescent="0.2">
      <c r="A39" t="str">
        <f t="shared" si="0"/>
        <v>S</v>
      </c>
      <c r="B39">
        <f t="shared" si="1"/>
        <v>0</v>
      </c>
      <c r="C39">
        <f t="shared" ca="1" si="2"/>
        <v>1</v>
      </c>
      <c r="D39">
        <f t="shared" ca="1" si="3"/>
        <v>4</v>
      </c>
      <c r="E39">
        <f t="shared" ca="1" si="4"/>
        <v>2</v>
      </c>
      <c r="F39">
        <f t="shared" ca="1" si="5"/>
        <v>0</v>
      </c>
      <c r="G39">
        <f t="shared" ca="1" si="6"/>
        <v>3</v>
      </c>
      <c r="H39">
        <f t="shared" ca="1" si="7"/>
        <v>0</v>
      </c>
      <c r="I39">
        <f t="shared" ca="1" si="8"/>
        <v>0</v>
      </c>
      <c r="J39" s="394" t="s">
        <v>103</v>
      </c>
      <c r="K39" s="162" t="str">
        <f t="shared" ca="1" si="9"/>
        <v>1.4.2.0.3.</v>
      </c>
      <c r="L39" s="395" t="s">
        <v>236</v>
      </c>
      <c r="M39" s="395" t="s">
        <v>284</v>
      </c>
      <c r="N39" s="397" t="s">
        <v>285</v>
      </c>
      <c r="O39" s="398" t="s">
        <v>292</v>
      </c>
      <c r="P39" s="399">
        <v>26.87</v>
      </c>
      <c r="Q39" s="228"/>
      <c r="R39" s="231" t="s">
        <v>7</v>
      </c>
      <c r="S39" s="121">
        <f t="shared" si="10"/>
        <v>0</v>
      </c>
      <c r="T39" s="98">
        <f t="shared" si="11"/>
        <v>0</v>
      </c>
      <c r="U39" s="13" t="str">
        <f t="shared" si="12"/>
        <v>SEM VALOR</v>
      </c>
      <c r="V39" s="4" t="str">
        <f ca="1">IF(OR($A39=0,$A39="S",$A39&gt;CFF!$A$9),"",MAX(V$12:OFFSET(V39,-1,0))+1)</f>
        <v/>
      </c>
      <c r="W39" s="9" t="str">
        <f t="shared" si="13"/>
        <v>SEE/MG-030006</v>
      </c>
      <c r="X39" s="4" t="e">
        <f t="shared" ca="1" si="14"/>
        <v>#REF!</v>
      </c>
      <c r="Y39" s="121">
        <v>690.74938799999995</v>
      </c>
      <c r="Z39" s="132">
        <f ca="1">ROUND(IF(ISNUMBER(R39),R39,IF(LEFT(R39,3)="BDI",HLOOKUP(R39,DADOS!$T$37:$X$38,2,FALSE),0)),15-11*$X$5)</f>
        <v>0.27639999999999998</v>
      </c>
      <c r="AA39" s="4"/>
    </row>
    <row r="40" spans="1:27" x14ac:dyDescent="0.2">
      <c r="A40">
        <f t="shared" si="0"/>
        <v>3</v>
      </c>
      <c r="B40">
        <f t="shared" ca="1" si="1"/>
        <v>5</v>
      </c>
      <c r="C40">
        <f t="shared" ca="1" si="2"/>
        <v>1</v>
      </c>
      <c r="D40">
        <f t="shared" ca="1" si="3"/>
        <v>4</v>
      </c>
      <c r="E40">
        <f t="shared" ca="1" si="4"/>
        <v>3</v>
      </c>
      <c r="F40">
        <f t="shared" ca="1" si="5"/>
        <v>0</v>
      </c>
      <c r="G40">
        <f t="shared" ca="1" si="6"/>
        <v>0</v>
      </c>
      <c r="H40">
        <f t="shared" ca="1" si="7"/>
        <v>5</v>
      </c>
      <c r="I40">
        <f t="shared" ca="1" si="8"/>
        <v>16</v>
      </c>
      <c r="J40" s="394" t="s">
        <v>101</v>
      </c>
      <c r="K40" s="162" t="str">
        <f t="shared" ca="1" si="9"/>
        <v>1.4.3.</v>
      </c>
      <c r="L40" s="395"/>
      <c r="M40" s="395"/>
      <c r="N40" s="397" t="s">
        <v>286</v>
      </c>
      <c r="O40" s="398"/>
      <c r="P40" s="399"/>
      <c r="Q40" s="228"/>
      <c r="R40" s="231" t="s">
        <v>7</v>
      </c>
      <c r="S40" s="121">
        <f t="shared" si="10"/>
        <v>0</v>
      </c>
      <c r="T40" s="98">
        <f t="shared" ca="1" si="11"/>
        <v>0</v>
      </c>
      <c r="U40" s="13" t="str">
        <f t="shared" ca="1" si="12"/>
        <v>SEM VALOR</v>
      </c>
      <c r="V40" s="4" t="str">
        <f ca="1">IF(OR($A40=0,$A40="S",$A40&gt;CFF!$A$9),"",MAX(V$12:OFFSET(V40,-1,0))+1)</f>
        <v/>
      </c>
      <c r="W40" s="9" t="b">
        <f t="shared" si="13"/>
        <v>0</v>
      </c>
      <c r="X40" s="4" t="str">
        <f t="shared" ca="1" si="14"/>
        <v>X</v>
      </c>
      <c r="Y40" s="121">
        <v>0</v>
      </c>
      <c r="Z40" s="132">
        <f ca="1">ROUND(IF(ISNUMBER(R40),R40,IF(LEFT(R40,3)="BDI",HLOOKUP(R40,DADOS!$T$37:$X$38,2,FALSE),0)),15-11*$X$5)</f>
        <v>0.27639999999999998</v>
      </c>
      <c r="AA40" s="4"/>
    </row>
    <row r="41" spans="1:27" x14ac:dyDescent="0.2">
      <c r="A41" t="str">
        <f t="shared" si="0"/>
        <v>S</v>
      </c>
      <c r="B41">
        <f t="shared" si="1"/>
        <v>0</v>
      </c>
      <c r="C41">
        <f t="shared" ca="1" si="2"/>
        <v>1</v>
      </c>
      <c r="D41">
        <f t="shared" ca="1" si="3"/>
        <v>4</v>
      </c>
      <c r="E41">
        <f t="shared" ca="1" si="4"/>
        <v>3</v>
      </c>
      <c r="F41">
        <f t="shared" ca="1" si="5"/>
        <v>0</v>
      </c>
      <c r="G41">
        <f t="shared" ca="1" si="6"/>
        <v>1</v>
      </c>
      <c r="H41">
        <f t="shared" ca="1" si="7"/>
        <v>0</v>
      </c>
      <c r="I41">
        <f t="shared" ca="1" si="8"/>
        <v>0</v>
      </c>
      <c r="J41" s="394" t="s">
        <v>103</v>
      </c>
      <c r="K41" s="162" t="str">
        <f t="shared" ca="1" si="9"/>
        <v>1.4.3.0.1.</v>
      </c>
      <c r="L41" s="395" t="s">
        <v>236</v>
      </c>
      <c r="M41" s="395" t="s">
        <v>287</v>
      </c>
      <c r="N41" s="397" t="s">
        <v>279</v>
      </c>
      <c r="O41" s="398" t="s">
        <v>260</v>
      </c>
      <c r="P41" s="399">
        <v>5.6</v>
      </c>
      <c r="Q41" s="228"/>
      <c r="R41" s="231" t="s">
        <v>7</v>
      </c>
      <c r="S41" s="121">
        <f t="shared" si="10"/>
        <v>0</v>
      </c>
      <c r="T41" s="98">
        <f t="shared" si="11"/>
        <v>0</v>
      </c>
      <c r="U41" s="13" t="str">
        <f t="shared" si="12"/>
        <v>SEM VALOR</v>
      </c>
      <c r="V41" s="4" t="str">
        <f ca="1">IF(OR($A41=0,$A41="S",$A41&gt;CFF!$A$9),"",MAX(V$12:OFFSET(V41,-1,0))+1)</f>
        <v/>
      </c>
      <c r="W41" s="9" t="str">
        <f t="shared" si="13"/>
        <v>SEE/MG-030007</v>
      </c>
      <c r="X41" s="4" t="e">
        <f t="shared" ca="1" si="14"/>
        <v>#REF!</v>
      </c>
      <c r="Y41" s="121">
        <v>60.029091999999999</v>
      </c>
      <c r="Z41" s="132">
        <f ca="1">ROUND(IF(ISNUMBER(R41),R41,IF(LEFT(R41,3)="BDI",HLOOKUP(R41,DADOS!$T$37:$X$38,2,FALSE),0)),15-11*$X$5)</f>
        <v>0.27639999999999998</v>
      </c>
      <c r="AA41" s="4"/>
    </row>
    <row r="42" spans="1:27" x14ac:dyDescent="0.2">
      <c r="A42" t="str">
        <f t="shared" si="0"/>
        <v>S</v>
      </c>
      <c r="B42">
        <f t="shared" si="1"/>
        <v>0</v>
      </c>
      <c r="C42">
        <f t="shared" ca="1" si="2"/>
        <v>1</v>
      </c>
      <c r="D42">
        <f t="shared" ca="1" si="3"/>
        <v>4</v>
      </c>
      <c r="E42">
        <f t="shared" ca="1" si="4"/>
        <v>3</v>
      </c>
      <c r="F42">
        <f t="shared" ca="1" si="5"/>
        <v>0</v>
      </c>
      <c r="G42">
        <f t="shared" ca="1" si="6"/>
        <v>2</v>
      </c>
      <c r="H42">
        <f t="shared" ca="1" si="7"/>
        <v>0</v>
      </c>
      <c r="I42">
        <f t="shared" ca="1" si="8"/>
        <v>0</v>
      </c>
      <c r="J42" s="394" t="s">
        <v>103</v>
      </c>
      <c r="K42" s="162" t="str">
        <f t="shared" ca="1" si="9"/>
        <v>1.4.3.0.2.</v>
      </c>
      <c r="L42" s="395" t="s">
        <v>236</v>
      </c>
      <c r="M42" s="395" t="s">
        <v>288</v>
      </c>
      <c r="N42" s="397" t="s">
        <v>291</v>
      </c>
      <c r="O42" s="398" t="s">
        <v>283</v>
      </c>
      <c r="P42" s="399">
        <v>407</v>
      </c>
      <c r="Q42" s="228"/>
      <c r="R42" s="231" t="s">
        <v>7</v>
      </c>
      <c r="S42" s="121">
        <f t="shared" si="10"/>
        <v>0</v>
      </c>
      <c r="T42" s="98">
        <f t="shared" si="11"/>
        <v>0</v>
      </c>
      <c r="U42" s="13" t="str">
        <f t="shared" si="12"/>
        <v>SEM VALOR</v>
      </c>
      <c r="V42" s="4" t="str">
        <f ca="1">IF(OR($A42=0,$A42="S",$A42&gt;CFF!$A$9),"",MAX(V$12:OFFSET(V42,-1,0))+1)</f>
        <v/>
      </c>
      <c r="W42" s="9" t="str">
        <f t="shared" si="13"/>
        <v>SEE/MG-030008</v>
      </c>
      <c r="X42" s="4" t="e">
        <f t="shared" ca="1" si="14"/>
        <v>#REF!</v>
      </c>
      <c r="Y42" s="121">
        <v>16.937828</v>
      </c>
      <c r="Z42" s="132">
        <f ca="1">ROUND(IF(ISNUMBER(R42),R42,IF(LEFT(R42,3)="BDI",HLOOKUP(R42,DADOS!$T$37:$X$38,2,FALSE),0)),15-11*$X$5)</f>
        <v>0.27639999999999998</v>
      </c>
      <c r="AA42" s="4"/>
    </row>
    <row r="43" spans="1:27" x14ac:dyDescent="0.2">
      <c r="A43" t="str">
        <f t="shared" si="0"/>
        <v>S</v>
      </c>
      <c r="B43">
        <f t="shared" si="1"/>
        <v>0</v>
      </c>
      <c r="C43">
        <f t="shared" ca="1" si="2"/>
        <v>1</v>
      </c>
      <c r="D43">
        <f t="shared" ca="1" si="3"/>
        <v>4</v>
      </c>
      <c r="E43">
        <f t="shared" ca="1" si="4"/>
        <v>3</v>
      </c>
      <c r="F43">
        <f t="shared" ca="1" si="5"/>
        <v>0</v>
      </c>
      <c r="G43">
        <f t="shared" ca="1" si="6"/>
        <v>3</v>
      </c>
      <c r="H43">
        <f t="shared" ca="1" si="7"/>
        <v>0</v>
      </c>
      <c r="I43">
        <f t="shared" ca="1" si="8"/>
        <v>0</v>
      </c>
      <c r="J43" s="394" t="s">
        <v>103</v>
      </c>
      <c r="K43" s="162" t="str">
        <f t="shared" ca="1" si="9"/>
        <v>1.4.3.0.3.</v>
      </c>
      <c r="L43" s="395" t="s">
        <v>236</v>
      </c>
      <c r="M43" s="395" t="s">
        <v>289</v>
      </c>
      <c r="N43" s="397" t="s">
        <v>285</v>
      </c>
      <c r="O43" s="398" t="s">
        <v>292</v>
      </c>
      <c r="P43" s="399">
        <v>3.92</v>
      </c>
      <c r="Q43" s="228"/>
      <c r="R43" s="231" t="s">
        <v>7</v>
      </c>
      <c r="S43" s="121">
        <f t="shared" si="10"/>
        <v>0</v>
      </c>
      <c r="T43" s="98">
        <f t="shared" si="11"/>
        <v>0</v>
      </c>
      <c r="U43" s="13" t="str">
        <f t="shared" si="12"/>
        <v>SEM VALOR</v>
      </c>
      <c r="V43" s="4" t="str">
        <f ca="1">IF(OR($A43=0,$A43="S",$A43&gt;CFF!$A$9),"",MAX(V$12:OFFSET(V43,-1,0))+1)</f>
        <v/>
      </c>
      <c r="W43" s="9" t="str">
        <f t="shared" si="13"/>
        <v>SEE/MG-030009</v>
      </c>
      <c r="X43" s="4" t="e">
        <f t="shared" ca="1" si="14"/>
        <v>#REF!</v>
      </c>
      <c r="Y43" s="121">
        <v>690.74938799999995</v>
      </c>
      <c r="Z43" s="132">
        <f ca="1">ROUND(IF(ISNUMBER(R43),R43,IF(LEFT(R43,3)="BDI",HLOOKUP(R43,DADOS!$T$37:$X$38,2,FALSE),0)),15-11*$X$5)</f>
        <v>0.27639999999999998</v>
      </c>
      <c r="AA43" s="4"/>
    </row>
    <row r="44" spans="1:27" x14ac:dyDescent="0.2">
      <c r="A44" t="str">
        <f t="shared" si="0"/>
        <v>S</v>
      </c>
      <c r="B44">
        <f t="shared" si="1"/>
        <v>0</v>
      </c>
      <c r="C44">
        <f t="shared" ca="1" si="2"/>
        <v>1</v>
      </c>
      <c r="D44">
        <f t="shared" ca="1" si="3"/>
        <v>4</v>
      </c>
      <c r="E44">
        <f t="shared" ca="1" si="4"/>
        <v>3</v>
      </c>
      <c r="F44">
        <f t="shared" ca="1" si="5"/>
        <v>0</v>
      </c>
      <c r="G44">
        <f t="shared" ca="1" si="6"/>
        <v>4</v>
      </c>
      <c r="H44">
        <f t="shared" ca="1" si="7"/>
        <v>0</v>
      </c>
      <c r="I44">
        <f t="shared" ca="1" si="8"/>
        <v>0</v>
      </c>
      <c r="J44" s="394" t="s">
        <v>103</v>
      </c>
      <c r="K44" s="162" t="str">
        <f t="shared" ca="1" si="9"/>
        <v>1.4.3.0.4.</v>
      </c>
      <c r="L44" s="395" t="s">
        <v>236</v>
      </c>
      <c r="M44" s="395" t="s">
        <v>290</v>
      </c>
      <c r="N44" s="397" t="s">
        <v>274</v>
      </c>
      <c r="O44" s="398" t="s">
        <v>275</v>
      </c>
      <c r="P44" s="399">
        <v>63</v>
      </c>
      <c r="Q44" s="228"/>
      <c r="R44" s="231" t="s">
        <v>7</v>
      </c>
      <c r="S44" s="121">
        <f t="shared" si="10"/>
        <v>0</v>
      </c>
      <c r="T44" s="98">
        <f t="shared" si="11"/>
        <v>0</v>
      </c>
      <c r="U44" s="13" t="str">
        <f t="shared" si="12"/>
        <v>SEM VALOR</v>
      </c>
      <c r="V44" s="4" t="str">
        <f ca="1">IF(OR($A44=0,$A44="S",$A44&gt;CFF!$A$9),"",MAX(V$12:OFFSET(V44,-1,0))+1)</f>
        <v/>
      </c>
      <c r="W44" s="9" t="str">
        <f t="shared" si="13"/>
        <v>SEE/MG-030010</v>
      </c>
      <c r="X44" s="4" t="e">
        <f t="shared" ca="1" si="14"/>
        <v>#REF!</v>
      </c>
      <c r="Y44" s="121">
        <v>65.402736000000004</v>
      </c>
      <c r="Z44" s="132">
        <f ca="1">ROUND(IF(ISNUMBER(R44),R44,IF(LEFT(R44,3)="BDI",HLOOKUP(R44,DADOS!$T$37:$X$38,2,FALSE),0)),15-11*$X$5)</f>
        <v>0.27639999999999998</v>
      </c>
      <c r="AA44" s="4"/>
    </row>
    <row r="45" spans="1:27" x14ac:dyDescent="0.2">
      <c r="A45">
        <f t="shared" si="0"/>
        <v>2</v>
      </c>
      <c r="B45">
        <f t="shared" ca="1" si="1"/>
        <v>13</v>
      </c>
      <c r="C45">
        <f t="shared" ca="1" si="2"/>
        <v>1</v>
      </c>
      <c r="D45">
        <f t="shared" ca="1" si="3"/>
        <v>5</v>
      </c>
      <c r="E45">
        <f t="shared" ca="1" si="4"/>
        <v>0</v>
      </c>
      <c r="F45">
        <f t="shared" ca="1" si="5"/>
        <v>0</v>
      </c>
      <c r="G45">
        <f t="shared" ca="1" si="6"/>
        <v>0</v>
      </c>
      <c r="H45">
        <f t="shared" ca="1" si="7"/>
        <v>182</v>
      </c>
      <c r="I45">
        <f t="shared" ca="1" si="8"/>
        <v>13</v>
      </c>
      <c r="J45" s="394" t="s">
        <v>100</v>
      </c>
      <c r="K45" s="162" t="str">
        <f t="shared" ca="1" si="9"/>
        <v>1.5.</v>
      </c>
      <c r="L45" s="395"/>
      <c r="M45" s="395"/>
      <c r="N45" s="397" t="s">
        <v>293</v>
      </c>
      <c r="O45" s="398"/>
      <c r="P45" s="399"/>
      <c r="Q45" s="228"/>
      <c r="R45" s="231" t="s">
        <v>7</v>
      </c>
      <c r="S45" s="121">
        <f t="shared" si="10"/>
        <v>0</v>
      </c>
      <c r="T45" s="98">
        <f t="shared" ca="1" si="11"/>
        <v>0</v>
      </c>
      <c r="U45" s="13" t="str">
        <f t="shared" ca="1" si="12"/>
        <v>SEM VALOR</v>
      </c>
      <c r="V45" s="4">
        <f ca="1">IF(OR($A45=0,$A45="S",$A45&gt;CFF!$A$9),"",MAX(V$12:OFFSET(V45,-1,0))+1)</f>
        <v>6</v>
      </c>
      <c r="W45" s="9" t="b">
        <f t="shared" si="13"/>
        <v>0</v>
      </c>
      <c r="X45" s="4" t="str">
        <f t="shared" ca="1" si="14"/>
        <v>X</v>
      </c>
      <c r="Y45" s="121">
        <v>0</v>
      </c>
      <c r="Z45" s="132">
        <f ca="1">ROUND(IF(ISNUMBER(R45),R45,IF(LEFT(R45,3)="BDI",HLOOKUP(R45,DADOS!$T$37:$X$38,2,FALSE),0)),15-11*$X$5)</f>
        <v>0.27639999999999998</v>
      </c>
      <c r="AA45" s="4"/>
    </row>
    <row r="46" spans="1:27" x14ac:dyDescent="0.2">
      <c r="A46">
        <f t="shared" si="0"/>
        <v>3</v>
      </c>
      <c r="B46">
        <f t="shared" ca="1" si="1"/>
        <v>4</v>
      </c>
      <c r="C46">
        <f t="shared" ca="1" si="2"/>
        <v>1</v>
      </c>
      <c r="D46">
        <f t="shared" ca="1" si="3"/>
        <v>5</v>
      </c>
      <c r="E46">
        <f t="shared" ca="1" si="4"/>
        <v>1</v>
      </c>
      <c r="F46">
        <f t="shared" ca="1" si="5"/>
        <v>0</v>
      </c>
      <c r="G46">
        <f t="shared" ca="1" si="6"/>
        <v>0</v>
      </c>
      <c r="H46">
        <f t="shared" ca="1" si="7"/>
        <v>12</v>
      </c>
      <c r="I46">
        <f t="shared" ca="1" si="8"/>
        <v>4</v>
      </c>
      <c r="J46" s="394" t="s">
        <v>101</v>
      </c>
      <c r="K46" s="162" t="str">
        <f t="shared" ca="1" si="9"/>
        <v>1.5.1.</v>
      </c>
      <c r="L46" s="395"/>
      <c r="M46" s="395"/>
      <c r="N46" s="397" t="s">
        <v>294</v>
      </c>
      <c r="O46" s="398"/>
      <c r="P46" s="399"/>
      <c r="Q46" s="228"/>
      <c r="R46" s="231" t="s">
        <v>7</v>
      </c>
      <c r="S46" s="121">
        <f t="shared" si="10"/>
        <v>0</v>
      </c>
      <c r="T46" s="98">
        <f t="shared" ca="1" si="11"/>
        <v>0</v>
      </c>
      <c r="U46" s="13" t="str">
        <f t="shared" ca="1" si="12"/>
        <v>SEM VALOR</v>
      </c>
      <c r="V46" s="4" t="str">
        <f ca="1">IF(OR($A46=0,$A46="S",$A46&gt;CFF!$A$9),"",MAX(V$12:OFFSET(V46,-1,0))+1)</f>
        <v/>
      </c>
      <c r="W46" s="9" t="b">
        <f t="shared" si="13"/>
        <v>0</v>
      </c>
      <c r="X46" s="4" t="str">
        <f t="shared" ca="1" si="14"/>
        <v>X</v>
      </c>
      <c r="Y46" s="121">
        <v>0</v>
      </c>
      <c r="Z46" s="132">
        <f ca="1">ROUND(IF(ISNUMBER(R46),R46,IF(LEFT(R46,3)="BDI",HLOOKUP(R46,DADOS!$T$37:$X$38,2,FALSE),0)),15-11*$X$5)</f>
        <v>0.27639999999999998</v>
      </c>
      <c r="AA46" s="4"/>
    </row>
    <row r="47" spans="1:27" x14ac:dyDescent="0.2">
      <c r="A47" t="str">
        <f t="shared" si="0"/>
        <v>S</v>
      </c>
      <c r="B47">
        <f t="shared" si="1"/>
        <v>0</v>
      </c>
      <c r="C47">
        <f t="shared" ca="1" si="2"/>
        <v>1</v>
      </c>
      <c r="D47">
        <f t="shared" ca="1" si="3"/>
        <v>5</v>
      </c>
      <c r="E47">
        <f t="shared" ca="1" si="4"/>
        <v>1</v>
      </c>
      <c r="F47">
        <f t="shared" ca="1" si="5"/>
        <v>0</v>
      </c>
      <c r="G47">
        <f t="shared" ca="1" si="6"/>
        <v>1</v>
      </c>
      <c r="H47">
        <f t="shared" ca="1" si="7"/>
        <v>0</v>
      </c>
      <c r="I47">
        <f t="shared" ca="1" si="8"/>
        <v>0</v>
      </c>
      <c r="J47" s="394" t="s">
        <v>103</v>
      </c>
      <c r="K47" s="162" t="str">
        <f t="shared" ca="1" si="9"/>
        <v>1.5.1.0.1.</v>
      </c>
      <c r="L47" s="395" t="s">
        <v>236</v>
      </c>
      <c r="M47" s="395" t="s">
        <v>295</v>
      </c>
      <c r="N47" s="397" t="s">
        <v>296</v>
      </c>
      <c r="O47" s="398" t="s">
        <v>260</v>
      </c>
      <c r="P47" s="399">
        <v>453.62</v>
      </c>
      <c r="Q47" s="228"/>
      <c r="R47" s="231" t="s">
        <v>7</v>
      </c>
      <c r="S47" s="121">
        <f t="shared" si="10"/>
        <v>0</v>
      </c>
      <c r="T47" s="98">
        <f t="shared" si="11"/>
        <v>0</v>
      </c>
      <c r="U47" s="13" t="str">
        <f t="shared" si="12"/>
        <v>SEM VALOR</v>
      </c>
      <c r="V47" s="4" t="str">
        <f ca="1">IF(OR($A47=0,$A47="S",$A47&gt;CFF!$A$9),"",MAX(V$12:OFFSET(V47,-1,0))+1)</f>
        <v/>
      </c>
      <c r="W47" s="9" t="str">
        <f t="shared" si="13"/>
        <v>SEE/MG-040001</v>
      </c>
      <c r="X47" s="4" t="e">
        <f t="shared" ca="1" si="14"/>
        <v>#REF!</v>
      </c>
      <c r="Y47" s="121">
        <v>128.22714400000001</v>
      </c>
      <c r="Z47" s="132">
        <f ca="1">ROUND(IF(ISNUMBER(R47),R47,IF(LEFT(R47,3)="BDI",HLOOKUP(R47,DADOS!$T$37:$X$38,2,FALSE),0)),15-11*$X$5)</f>
        <v>0.27639999999999998</v>
      </c>
      <c r="AA47" s="4"/>
    </row>
    <row r="48" spans="1:27" x14ac:dyDescent="0.2">
      <c r="A48" t="str">
        <f t="shared" si="0"/>
        <v>S</v>
      </c>
      <c r="B48">
        <f t="shared" si="1"/>
        <v>0</v>
      </c>
      <c r="C48">
        <f t="shared" ca="1" si="2"/>
        <v>1</v>
      </c>
      <c r="D48">
        <f t="shared" ca="1" si="3"/>
        <v>5</v>
      </c>
      <c r="E48">
        <f t="shared" ca="1" si="4"/>
        <v>1</v>
      </c>
      <c r="F48">
        <f t="shared" ca="1" si="5"/>
        <v>0</v>
      </c>
      <c r="G48">
        <f t="shared" ca="1" si="6"/>
        <v>2</v>
      </c>
      <c r="H48">
        <f t="shared" ca="1" si="7"/>
        <v>0</v>
      </c>
      <c r="I48">
        <f t="shared" ca="1" si="8"/>
        <v>0</v>
      </c>
      <c r="J48" s="394" t="s">
        <v>103</v>
      </c>
      <c r="K48" s="162" t="str">
        <f t="shared" ca="1" si="9"/>
        <v>1.5.1.0.2.</v>
      </c>
      <c r="L48" s="395" t="s">
        <v>236</v>
      </c>
      <c r="M48" s="395" t="s">
        <v>297</v>
      </c>
      <c r="N48" s="397" t="s">
        <v>298</v>
      </c>
      <c r="O48" s="398" t="s">
        <v>283</v>
      </c>
      <c r="P48" s="399">
        <v>1310.3699999999999</v>
      </c>
      <c r="Q48" s="228"/>
      <c r="R48" s="231" t="s">
        <v>7</v>
      </c>
      <c r="S48" s="121">
        <f t="shared" si="10"/>
        <v>0</v>
      </c>
      <c r="T48" s="98">
        <f t="shared" si="11"/>
        <v>0</v>
      </c>
      <c r="U48" s="13" t="str">
        <f t="shared" si="12"/>
        <v>SEM VALOR</v>
      </c>
      <c r="V48" s="4" t="str">
        <f ca="1">IF(OR($A48=0,$A48="S",$A48&gt;CFF!$A$9),"",MAX(V$12:OFFSET(V48,-1,0))+1)</f>
        <v/>
      </c>
      <c r="W48" s="9" t="str">
        <f t="shared" si="13"/>
        <v>SEE/MG-040002</v>
      </c>
      <c r="X48" s="4" t="e">
        <f t="shared" ca="1" si="14"/>
        <v>#REF!</v>
      </c>
      <c r="Y48" s="121">
        <v>16.937828</v>
      </c>
      <c r="Z48" s="132">
        <f ca="1">ROUND(IF(ISNUMBER(R48),R48,IF(LEFT(R48,3)="BDI",HLOOKUP(R48,DADOS!$T$37:$X$38,2,FALSE),0)),15-11*$X$5)</f>
        <v>0.27639999999999998</v>
      </c>
      <c r="AA48" s="4"/>
    </row>
    <row r="49" spans="1:27" x14ac:dyDescent="0.2">
      <c r="A49" t="str">
        <f t="shared" si="0"/>
        <v>S</v>
      </c>
      <c r="B49">
        <f t="shared" si="1"/>
        <v>0</v>
      </c>
      <c r="C49">
        <f t="shared" ca="1" si="2"/>
        <v>1</v>
      </c>
      <c r="D49">
        <f t="shared" ca="1" si="3"/>
        <v>5</v>
      </c>
      <c r="E49">
        <f t="shared" ca="1" si="4"/>
        <v>1</v>
      </c>
      <c r="F49">
        <f t="shared" ca="1" si="5"/>
        <v>0</v>
      </c>
      <c r="G49">
        <f t="shared" ca="1" si="6"/>
        <v>3</v>
      </c>
      <c r="H49">
        <f t="shared" ca="1" si="7"/>
        <v>0</v>
      </c>
      <c r="I49">
        <f t="shared" ca="1" si="8"/>
        <v>0</v>
      </c>
      <c r="J49" s="394" t="s">
        <v>103</v>
      </c>
      <c r="K49" s="162" t="str">
        <f t="shared" ca="1" si="9"/>
        <v>1.5.1.0.3.</v>
      </c>
      <c r="L49" s="395" t="s">
        <v>236</v>
      </c>
      <c r="M49" s="395" t="s">
        <v>299</v>
      </c>
      <c r="N49" s="397" t="s">
        <v>285</v>
      </c>
      <c r="O49" s="398" t="s">
        <v>292</v>
      </c>
      <c r="P49" s="399">
        <v>27.81</v>
      </c>
      <c r="Q49" s="228"/>
      <c r="R49" s="231" t="s">
        <v>7</v>
      </c>
      <c r="S49" s="121">
        <f t="shared" si="10"/>
        <v>0</v>
      </c>
      <c r="T49" s="98">
        <f t="shared" si="11"/>
        <v>0</v>
      </c>
      <c r="U49" s="13" t="str">
        <f t="shared" si="12"/>
        <v>SEM VALOR</v>
      </c>
      <c r="V49" s="4" t="str">
        <f ca="1">IF(OR($A49=0,$A49="S",$A49&gt;CFF!$A$9),"",MAX(V$12:OFFSET(V49,-1,0))+1)</f>
        <v/>
      </c>
      <c r="W49" s="9" t="str">
        <f t="shared" si="13"/>
        <v>SEE/MG-040003</v>
      </c>
      <c r="X49" s="4" t="e">
        <f t="shared" ca="1" si="14"/>
        <v>#REF!</v>
      </c>
      <c r="Y49" s="121">
        <v>690.74938799999995</v>
      </c>
      <c r="Z49" s="132">
        <f ca="1">ROUND(IF(ISNUMBER(R49),R49,IF(LEFT(R49,3)="BDI",HLOOKUP(R49,DADOS!$T$37:$X$38,2,FALSE),0)),15-11*$X$5)</f>
        <v>0.27639999999999998</v>
      </c>
      <c r="AA49" s="4"/>
    </row>
    <row r="50" spans="1:27" x14ac:dyDescent="0.2">
      <c r="A50">
        <f t="shared" si="0"/>
        <v>3</v>
      </c>
      <c r="B50">
        <f t="shared" ca="1" si="1"/>
        <v>4</v>
      </c>
      <c r="C50">
        <f t="shared" ca="1" si="2"/>
        <v>1</v>
      </c>
      <c r="D50">
        <f t="shared" ca="1" si="3"/>
        <v>5</v>
      </c>
      <c r="E50">
        <f t="shared" ca="1" si="4"/>
        <v>2</v>
      </c>
      <c r="F50">
        <f t="shared" ca="1" si="5"/>
        <v>0</v>
      </c>
      <c r="G50">
        <f t="shared" ca="1" si="6"/>
        <v>0</v>
      </c>
      <c r="H50">
        <f t="shared" ca="1" si="7"/>
        <v>8</v>
      </c>
      <c r="I50">
        <f t="shared" ca="1" si="8"/>
        <v>4</v>
      </c>
      <c r="J50" s="394" t="s">
        <v>101</v>
      </c>
      <c r="K50" s="162" t="str">
        <f t="shared" ca="1" si="9"/>
        <v>1.5.2.</v>
      </c>
      <c r="L50" s="395"/>
      <c r="M50" s="395"/>
      <c r="N50" s="397" t="s">
        <v>300</v>
      </c>
      <c r="O50" s="398"/>
      <c r="P50" s="399"/>
      <c r="Q50" s="228"/>
      <c r="R50" s="231" t="s">
        <v>7</v>
      </c>
      <c r="S50" s="121">
        <f t="shared" si="10"/>
        <v>0</v>
      </c>
      <c r="T50" s="98">
        <f t="shared" ca="1" si="11"/>
        <v>0</v>
      </c>
      <c r="U50" s="13" t="str">
        <f t="shared" ca="1" si="12"/>
        <v>SEM VALOR</v>
      </c>
      <c r="V50" s="4" t="str">
        <f ca="1">IF(OR($A50=0,$A50="S",$A50&gt;CFF!$A$9),"",MAX(V$12:OFFSET(V50,-1,0))+1)</f>
        <v/>
      </c>
      <c r="W50" s="9" t="b">
        <f t="shared" si="13"/>
        <v>0</v>
      </c>
      <c r="X50" s="4" t="str">
        <f t="shared" ca="1" si="14"/>
        <v>X</v>
      </c>
      <c r="Y50" s="121">
        <v>0</v>
      </c>
      <c r="Z50" s="132">
        <f ca="1">ROUND(IF(ISNUMBER(R50),R50,IF(LEFT(R50,3)="BDI",HLOOKUP(R50,DADOS!$T$37:$X$38,2,FALSE),0)),15-11*$X$5)</f>
        <v>0.27639999999999998</v>
      </c>
      <c r="AA50" s="4"/>
    </row>
    <row r="51" spans="1:27" x14ac:dyDescent="0.2">
      <c r="A51" t="str">
        <f t="shared" si="0"/>
        <v>S</v>
      </c>
      <c r="B51">
        <f t="shared" si="1"/>
        <v>0</v>
      </c>
      <c r="C51">
        <f t="shared" ca="1" si="2"/>
        <v>1</v>
      </c>
      <c r="D51">
        <f t="shared" ca="1" si="3"/>
        <v>5</v>
      </c>
      <c r="E51">
        <f t="shared" ca="1" si="4"/>
        <v>2</v>
      </c>
      <c r="F51">
        <f t="shared" ca="1" si="5"/>
        <v>0</v>
      </c>
      <c r="G51">
        <f t="shared" ca="1" si="6"/>
        <v>1</v>
      </c>
      <c r="H51">
        <f t="shared" ca="1" si="7"/>
        <v>0</v>
      </c>
      <c r="I51">
        <f t="shared" ca="1" si="8"/>
        <v>0</v>
      </c>
      <c r="J51" s="394" t="s">
        <v>103</v>
      </c>
      <c r="K51" s="162" t="str">
        <f t="shared" ca="1" si="9"/>
        <v>1.5.2.0.1.</v>
      </c>
      <c r="L51" s="395" t="s">
        <v>236</v>
      </c>
      <c r="M51" s="395" t="s">
        <v>301</v>
      </c>
      <c r="N51" s="397" t="s">
        <v>302</v>
      </c>
      <c r="O51" s="398" t="s">
        <v>260</v>
      </c>
      <c r="P51" s="399">
        <v>319.27</v>
      </c>
      <c r="Q51" s="228"/>
      <c r="R51" s="231" t="s">
        <v>7</v>
      </c>
      <c r="S51" s="121">
        <f t="shared" si="10"/>
        <v>0</v>
      </c>
      <c r="T51" s="98">
        <f t="shared" si="11"/>
        <v>0</v>
      </c>
      <c r="U51" s="13" t="str">
        <f t="shared" si="12"/>
        <v>SEM VALOR</v>
      </c>
      <c r="V51" s="4" t="str">
        <f ca="1">IF(OR($A51=0,$A51="S",$A51&gt;CFF!$A$9),"",MAX(V$12:OFFSET(V51,-1,0))+1)</f>
        <v/>
      </c>
      <c r="W51" s="9" t="str">
        <f t="shared" si="13"/>
        <v>SEE/MG-040004</v>
      </c>
      <c r="X51" s="4" t="e">
        <f t="shared" ca="1" si="14"/>
        <v>#REF!</v>
      </c>
      <c r="Y51" s="121">
        <v>61.790523999999998</v>
      </c>
      <c r="Z51" s="132">
        <f ca="1">ROUND(IF(ISNUMBER(R51),R51,IF(LEFT(R51,3)="BDI",HLOOKUP(R51,DADOS!$T$37:$X$38,2,FALSE),0)),15-11*$X$5)</f>
        <v>0.27639999999999998</v>
      </c>
      <c r="AA51" s="4"/>
    </row>
    <row r="52" spans="1:27" x14ac:dyDescent="0.2">
      <c r="A52" t="str">
        <f t="shared" si="0"/>
        <v>S</v>
      </c>
      <c r="B52">
        <f t="shared" si="1"/>
        <v>0</v>
      </c>
      <c r="C52">
        <f t="shared" ca="1" si="2"/>
        <v>1</v>
      </c>
      <c r="D52">
        <f t="shared" ca="1" si="3"/>
        <v>5</v>
      </c>
      <c r="E52">
        <f t="shared" ca="1" si="4"/>
        <v>2</v>
      </c>
      <c r="F52">
        <f t="shared" ca="1" si="5"/>
        <v>0</v>
      </c>
      <c r="G52">
        <f t="shared" ca="1" si="6"/>
        <v>2</v>
      </c>
      <c r="H52">
        <f t="shared" ca="1" si="7"/>
        <v>0</v>
      </c>
      <c r="I52">
        <f t="shared" ca="1" si="8"/>
        <v>0</v>
      </c>
      <c r="J52" s="394" t="s">
        <v>103</v>
      </c>
      <c r="K52" s="162" t="str">
        <f t="shared" ca="1" si="9"/>
        <v>1.5.2.0.2.</v>
      </c>
      <c r="L52" s="395" t="s">
        <v>236</v>
      </c>
      <c r="M52" s="395" t="s">
        <v>303</v>
      </c>
      <c r="N52" s="397" t="s">
        <v>298</v>
      </c>
      <c r="O52" s="398" t="s">
        <v>283</v>
      </c>
      <c r="P52" s="399">
        <v>1570.91</v>
      </c>
      <c r="Q52" s="228"/>
      <c r="R52" s="231" t="s">
        <v>7</v>
      </c>
      <c r="S52" s="121">
        <f t="shared" si="10"/>
        <v>0</v>
      </c>
      <c r="T52" s="98">
        <f t="shared" si="11"/>
        <v>0</v>
      </c>
      <c r="U52" s="13" t="str">
        <f t="shared" si="12"/>
        <v>SEM VALOR</v>
      </c>
      <c r="V52" s="4" t="str">
        <f ca="1">IF(OR($A52=0,$A52="S",$A52&gt;CFF!$A$9),"",MAX(V$12:OFFSET(V52,-1,0))+1)</f>
        <v/>
      </c>
      <c r="W52" s="9" t="str">
        <f t="shared" si="13"/>
        <v>SEE/MG-040005</v>
      </c>
      <c r="X52" s="4" t="e">
        <f t="shared" ca="1" si="14"/>
        <v>#REF!</v>
      </c>
      <c r="Y52" s="121">
        <v>16.937828</v>
      </c>
      <c r="Z52" s="132">
        <f ca="1">ROUND(IF(ISNUMBER(R52),R52,IF(LEFT(R52,3)="BDI",HLOOKUP(R52,DADOS!$T$37:$X$38,2,FALSE),0)),15-11*$X$5)</f>
        <v>0.27639999999999998</v>
      </c>
      <c r="AA52" s="4"/>
    </row>
    <row r="53" spans="1:27" x14ac:dyDescent="0.2">
      <c r="A53" t="str">
        <f t="shared" si="0"/>
        <v>S</v>
      </c>
      <c r="B53">
        <f t="shared" si="1"/>
        <v>0</v>
      </c>
      <c r="C53">
        <f t="shared" ca="1" si="2"/>
        <v>1</v>
      </c>
      <c r="D53">
        <f t="shared" ca="1" si="3"/>
        <v>5</v>
      </c>
      <c r="E53">
        <f t="shared" ca="1" si="4"/>
        <v>2</v>
      </c>
      <c r="F53">
        <f t="shared" ca="1" si="5"/>
        <v>0</v>
      </c>
      <c r="G53">
        <f t="shared" ca="1" si="6"/>
        <v>3</v>
      </c>
      <c r="H53">
        <f t="shared" ca="1" si="7"/>
        <v>0</v>
      </c>
      <c r="I53">
        <f t="shared" ca="1" si="8"/>
        <v>0</v>
      </c>
      <c r="J53" s="394" t="s">
        <v>103</v>
      </c>
      <c r="K53" s="162" t="str">
        <f t="shared" ca="1" si="9"/>
        <v>1.5.2.0.3.</v>
      </c>
      <c r="L53" s="395" t="s">
        <v>236</v>
      </c>
      <c r="M53" s="395" t="s">
        <v>304</v>
      </c>
      <c r="N53" s="397" t="s">
        <v>285</v>
      </c>
      <c r="O53" s="398" t="s">
        <v>270</v>
      </c>
      <c r="P53" s="399">
        <v>16.149999999999999</v>
      </c>
      <c r="Q53" s="228"/>
      <c r="R53" s="231" t="s">
        <v>7</v>
      </c>
      <c r="S53" s="121">
        <f t="shared" si="10"/>
        <v>0</v>
      </c>
      <c r="T53" s="98">
        <f t="shared" si="11"/>
        <v>0</v>
      </c>
      <c r="U53" s="13" t="str">
        <f t="shared" si="12"/>
        <v>SEM VALOR</v>
      </c>
      <c r="V53" s="4" t="str">
        <f ca="1">IF(OR($A53=0,$A53="S",$A53&gt;CFF!$A$9),"",MAX(V$12:OFFSET(V53,-1,0))+1)</f>
        <v/>
      </c>
      <c r="W53" s="9" t="str">
        <f t="shared" si="13"/>
        <v>SEE/MG-040006</v>
      </c>
      <c r="X53" s="4" t="e">
        <f t="shared" ca="1" si="14"/>
        <v>#REF!</v>
      </c>
      <c r="Y53" s="121">
        <v>690.74938799999995</v>
      </c>
      <c r="Z53" s="132">
        <f ca="1">ROUND(IF(ISNUMBER(R53),R53,IF(LEFT(R53,3)="BDI",HLOOKUP(R53,DADOS!$T$37:$X$38,2,FALSE),0)),15-11*$X$5)</f>
        <v>0.27639999999999998</v>
      </c>
      <c r="AA53" s="4"/>
    </row>
    <row r="54" spans="1:27" x14ac:dyDescent="0.2">
      <c r="A54">
        <f t="shared" si="0"/>
        <v>3</v>
      </c>
      <c r="B54">
        <f t="shared" ca="1" si="1"/>
        <v>2</v>
      </c>
      <c r="C54">
        <f t="shared" ca="1" si="2"/>
        <v>1</v>
      </c>
      <c r="D54">
        <f t="shared" ca="1" si="3"/>
        <v>5</v>
      </c>
      <c r="E54">
        <f t="shared" ca="1" si="4"/>
        <v>3</v>
      </c>
      <c r="F54">
        <f t="shared" ca="1" si="5"/>
        <v>0</v>
      </c>
      <c r="G54">
        <f t="shared" ca="1" si="6"/>
        <v>0</v>
      </c>
      <c r="H54">
        <f t="shared" ca="1" si="7"/>
        <v>4</v>
      </c>
      <c r="I54">
        <f t="shared" ca="1" si="8"/>
        <v>2</v>
      </c>
      <c r="J54" s="394" t="s">
        <v>101</v>
      </c>
      <c r="K54" s="162" t="str">
        <f t="shared" ca="1" si="9"/>
        <v>1.5.3.</v>
      </c>
      <c r="L54" s="395"/>
      <c r="M54" s="395"/>
      <c r="N54" s="397" t="s">
        <v>305</v>
      </c>
      <c r="O54" s="398"/>
      <c r="P54" s="399"/>
      <c r="Q54" s="228"/>
      <c r="R54" s="231" t="s">
        <v>7</v>
      </c>
      <c r="S54" s="121">
        <f t="shared" si="10"/>
        <v>0</v>
      </c>
      <c r="T54" s="98">
        <f t="shared" ca="1" si="11"/>
        <v>0</v>
      </c>
      <c r="U54" s="13" t="str">
        <f t="shared" ca="1" si="12"/>
        <v>SEM VALOR</v>
      </c>
      <c r="V54" s="4" t="str">
        <f ca="1">IF(OR($A54=0,$A54="S",$A54&gt;CFF!$A$9),"",MAX(V$12:OFFSET(V54,-1,0))+1)</f>
        <v/>
      </c>
      <c r="W54" s="9" t="b">
        <f t="shared" si="13"/>
        <v>0</v>
      </c>
      <c r="X54" s="4" t="str">
        <f t="shared" ca="1" si="14"/>
        <v>X</v>
      </c>
      <c r="Y54" s="121">
        <v>0</v>
      </c>
      <c r="Z54" s="132">
        <f ca="1">ROUND(IF(ISNUMBER(R54),R54,IF(LEFT(R54,3)="BDI",HLOOKUP(R54,DADOS!$T$37:$X$38,2,FALSE),0)),15-11*$X$5)</f>
        <v>0.27639999999999998</v>
      </c>
      <c r="AA54" s="4"/>
    </row>
    <row r="55" spans="1:27" ht="25.5" x14ac:dyDescent="0.2">
      <c r="A55" t="str">
        <f t="shared" si="0"/>
        <v>S</v>
      </c>
      <c r="B55">
        <f t="shared" si="1"/>
        <v>0</v>
      </c>
      <c r="C55">
        <f t="shared" ca="1" si="2"/>
        <v>1</v>
      </c>
      <c r="D55">
        <f t="shared" ca="1" si="3"/>
        <v>5</v>
      </c>
      <c r="E55">
        <f t="shared" ca="1" si="4"/>
        <v>3</v>
      </c>
      <c r="F55">
        <f t="shared" ca="1" si="5"/>
        <v>0</v>
      </c>
      <c r="G55">
        <f t="shared" ca="1" si="6"/>
        <v>1</v>
      </c>
      <c r="H55">
        <f t="shared" ca="1" si="7"/>
        <v>0</v>
      </c>
      <c r="I55">
        <f t="shared" ca="1" si="8"/>
        <v>0</v>
      </c>
      <c r="J55" s="394" t="s">
        <v>103</v>
      </c>
      <c r="K55" s="162" t="str">
        <f t="shared" ca="1" si="9"/>
        <v>1.5.3.0.1.</v>
      </c>
      <c r="L55" s="395" t="s">
        <v>236</v>
      </c>
      <c r="M55" s="395" t="s">
        <v>306</v>
      </c>
      <c r="N55" s="397" t="s">
        <v>307</v>
      </c>
      <c r="O55" s="398" t="s">
        <v>260</v>
      </c>
      <c r="P55" s="399">
        <v>647.46</v>
      </c>
      <c r="Q55" s="228"/>
      <c r="R55" s="231" t="s">
        <v>7</v>
      </c>
      <c r="S55" s="121">
        <f t="shared" si="10"/>
        <v>0</v>
      </c>
      <c r="T55" s="98">
        <f t="shared" si="11"/>
        <v>0</v>
      </c>
      <c r="U55" s="13" t="str">
        <f t="shared" si="12"/>
        <v>SEM VALOR</v>
      </c>
      <c r="V55" s="4" t="str">
        <f ca="1">IF(OR($A55=0,$A55="S",$A55&gt;CFF!$A$9),"",MAX(V$12:OFFSET(V55,-1,0))+1)</f>
        <v/>
      </c>
      <c r="W55" s="9" t="str">
        <f t="shared" si="13"/>
        <v>SEE/MG-040007</v>
      </c>
      <c r="X55" s="4" t="e">
        <f t="shared" ca="1" si="14"/>
        <v>#REF!</v>
      </c>
      <c r="Y55" s="121">
        <v>304.395872</v>
      </c>
      <c r="Z55" s="132">
        <f ca="1">ROUND(IF(ISNUMBER(R55),R55,IF(LEFT(R55,3)="BDI",HLOOKUP(R55,DADOS!$T$37:$X$38,2,FALSE),0)),15-11*$X$5)</f>
        <v>0.27639999999999998</v>
      </c>
      <c r="AA55" s="4"/>
    </row>
    <row r="56" spans="1:27" x14ac:dyDescent="0.2">
      <c r="A56">
        <f t="shared" si="0"/>
        <v>3</v>
      </c>
      <c r="B56">
        <f t="shared" ca="1" si="1"/>
        <v>2</v>
      </c>
      <c r="C56">
        <f t="shared" ca="1" si="2"/>
        <v>1</v>
      </c>
      <c r="D56">
        <f t="shared" ca="1" si="3"/>
        <v>5</v>
      </c>
      <c r="E56">
        <f t="shared" ca="1" si="4"/>
        <v>4</v>
      </c>
      <c r="F56">
        <f t="shared" ca="1" si="5"/>
        <v>0</v>
      </c>
      <c r="G56">
        <f t="shared" ca="1" si="6"/>
        <v>0</v>
      </c>
      <c r="H56">
        <f t="shared" ca="1" si="7"/>
        <v>2</v>
      </c>
      <c r="I56">
        <f t="shared" ca="1" si="8"/>
        <v>135</v>
      </c>
      <c r="J56" s="394" t="s">
        <v>101</v>
      </c>
      <c r="K56" s="162" t="str">
        <f t="shared" ca="1" si="9"/>
        <v>1.5.4.</v>
      </c>
      <c r="L56" s="395"/>
      <c r="M56" s="395"/>
      <c r="N56" s="397" t="s">
        <v>308</v>
      </c>
      <c r="O56" s="398"/>
      <c r="P56" s="399"/>
      <c r="Q56" s="228"/>
      <c r="R56" s="231" t="s">
        <v>7</v>
      </c>
      <c r="S56" s="121">
        <f t="shared" si="10"/>
        <v>0</v>
      </c>
      <c r="T56" s="98">
        <f t="shared" ca="1" si="11"/>
        <v>0</v>
      </c>
      <c r="U56" s="13" t="str">
        <f t="shared" ca="1" si="12"/>
        <v>SEM VALOR</v>
      </c>
      <c r="V56" s="4" t="str">
        <f ca="1">IF(OR($A56=0,$A56="S",$A56&gt;CFF!$A$9),"",MAX(V$12:OFFSET(V56,-1,0))+1)</f>
        <v/>
      </c>
      <c r="W56" s="9" t="b">
        <f t="shared" si="13"/>
        <v>0</v>
      </c>
      <c r="X56" s="4" t="str">
        <f t="shared" ca="1" si="14"/>
        <v>X</v>
      </c>
      <c r="Y56" s="121">
        <v>0</v>
      </c>
      <c r="Z56" s="132">
        <f ca="1">ROUND(IF(ISNUMBER(R56),R56,IF(LEFT(R56,3)="BDI",HLOOKUP(R56,DADOS!$T$37:$X$38,2,FALSE),0)),15-11*$X$5)</f>
        <v>0.27639999999999998</v>
      </c>
      <c r="AA56" s="4"/>
    </row>
    <row r="57" spans="1:27" x14ac:dyDescent="0.2">
      <c r="A57" t="str">
        <f t="shared" si="0"/>
        <v>S</v>
      </c>
      <c r="B57">
        <f t="shared" si="1"/>
        <v>0</v>
      </c>
      <c r="C57">
        <f t="shared" ca="1" si="2"/>
        <v>1</v>
      </c>
      <c r="D57">
        <f t="shared" ca="1" si="3"/>
        <v>5</v>
      </c>
      <c r="E57">
        <f t="shared" ca="1" si="4"/>
        <v>4</v>
      </c>
      <c r="F57">
        <f t="shared" ca="1" si="5"/>
        <v>0</v>
      </c>
      <c r="G57">
        <f t="shared" ca="1" si="6"/>
        <v>1</v>
      </c>
      <c r="H57">
        <f t="shared" ca="1" si="7"/>
        <v>0</v>
      </c>
      <c r="I57">
        <f t="shared" ca="1" si="8"/>
        <v>0</v>
      </c>
      <c r="J57" s="394" t="s">
        <v>103</v>
      </c>
      <c r="K57" s="162" t="str">
        <f t="shared" ca="1" si="9"/>
        <v>1.5.4.0.1.</v>
      </c>
      <c r="L57" s="395" t="s">
        <v>236</v>
      </c>
      <c r="M57" s="395" t="s">
        <v>309</v>
      </c>
      <c r="N57" s="397" t="s">
        <v>310</v>
      </c>
      <c r="O57" s="398" t="s">
        <v>270</v>
      </c>
      <c r="P57" s="399">
        <v>2.3199999999999998</v>
      </c>
      <c r="Q57" s="228"/>
      <c r="R57" s="231" t="s">
        <v>7</v>
      </c>
      <c r="S57" s="121">
        <f t="shared" si="10"/>
        <v>0</v>
      </c>
      <c r="T57" s="98">
        <f t="shared" si="11"/>
        <v>0</v>
      </c>
      <c r="U57" s="13" t="str">
        <f t="shared" si="12"/>
        <v>SEM VALOR</v>
      </c>
      <c r="V57" s="4" t="str">
        <f ca="1">IF(OR($A57=0,$A57="S",$A57&gt;CFF!$A$9),"",MAX(V$12:OFFSET(V57,-1,0))+1)</f>
        <v/>
      </c>
      <c r="W57" s="9" t="str">
        <f t="shared" si="13"/>
        <v>SEE/MG-040008</v>
      </c>
      <c r="X57" s="4" t="e">
        <f t="shared" ca="1" si="14"/>
        <v>#REF!</v>
      </c>
      <c r="Y57" s="121">
        <v>3014.1420159999998</v>
      </c>
      <c r="Z57" s="132">
        <f ca="1">ROUND(IF(ISNUMBER(R57),R57,IF(LEFT(R57,3)="BDI",HLOOKUP(R57,DADOS!$T$37:$X$38,2,FALSE),0)),15-11*$X$5)</f>
        <v>0.27639999999999998</v>
      </c>
      <c r="AA57" s="4"/>
    </row>
    <row r="58" spans="1:27" x14ac:dyDescent="0.2">
      <c r="A58">
        <f t="shared" si="0"/>
        <v>2</v>
      </c>
      <c r="B58">
        <f t="shared" ca="1" si="1"/>
        <v>3</v>
      </c>
      <c r="C58">
        <f t="shared" ca="1" si="2"/>
        <v>1</v>
      </c>
      <c r="D58">
        <f t="shared" ca="1" si="3"/>
        <v>6</v>
      </c>
      <c r="E58">
        <f t="shared" ca="1" si="4"/>
        <v>0</v>
      </c>
      <c r="F58">
        <f t="shared" ca="1" si="5"/>
        <v>0</v>
      </c>
      <c r="G58">
        <f t="shared" ca="1" si="6"/>
        <v>0</v>
      </c>
      <c r="H58">
        <f t="shared" ca="1" si="7"/>
        <v>169</v>
      </c>
      <c r="I58">
        <f t="shared" ca="1" si="8"/>
        <v>3</v>
      </c>
      <c r="J58" s="394" t="s">
        <v>100</v>
      </c>
      <c r="K58" s="162" t="str">
        <f t="shared" ca="1" si="9"/>
        <v>1.6.</v>
      </c>
      <c r="L58" s="395"/>
      <c r="M58" s="395"/>
      <c r="N58" s="397" t="s">
        <v>311</v>
      </c>
      <c r="O58" s="398"/>
      <c r="P58" s="399"/>
      <c r="Q58" s="228"/>
      <c r="R58" s="231" t="s">
        <v>7</v>
      </c>
      <c r="S58" s="121">
        <f t="shared" si="10"/>
        <v>0</v>
      </c>
      <c r="T58" s="98">
        <f t="shared" ca="1" si="11"/>
        <v>0</v>
      </c>
      <c r="U58" s="13" t="str">
        <f t="shared" ca="1" si="12"/>
        <v>SEM VALOR</v>
      </c>
      <c r="V58" s="4">
        <f ca="1">IF(OR($A58=0,$A58="S",$A58&gt;CFF!$A$9),"",MAX(V$12:OFFSET(V58,-1,0))+1)</f>
        <v>7</v>
      </c>
      <c r="W58" s="9" t="b">
        <f t="shared" si="13"/>
        <v>0</v>
      </c>
      <c r="X58" s="4" t="str">
        <f t="shared" ca="1" si="14"/>
        <v>X</v>
      </c>
      <c r="Y58" s="121">
        <v>0</v>
      </c>
      <c r="Z58" s="132">
        <f ca="1">ROUND(IF(ISNUMBER(R58),R58,IF(LEFT(R58,3)="BDI",HLOOKUP(R58,DADOS!$T$37:$X$38,2,FALSE),0)),15-11*$X$5)</f>
        <v>0.27639999999999998</v>
      </c>
      <c r="AA58" s="4"/>
    </row>
    <row r="59" spans="1:27" ht="25.5" x14ac:dyDescent="0.2">
      <c r="A59" t="str">
        <f t="shared" si="0"/>
        <v>S</v>
      </c>
      <c r="B59">
        <f t="shared" si="1"/>
        <v>0</v>
      </c>
      <c r="C59">
        <f t="shared" ca="1" si="2"/>
        <v>1</v>
      </c>
      <c r="D59">
        <f t="shared" ca="1" si="3"/>
        <v>6</v>
      </c>
      <c r="E59">
        <f t="shared" ca="1" si="4"/>
        <v>0</v>
      </c>
      <c r="F59">
        <f t="shared" ca="1" si="5"/>
        <v>0</v>
      </c>
      <c r="G59">
        <f t="shared" ca="1" si="6"/>
        <v>1</v>
      </c>
      <c r="H59">
        <f t="shared" ca="1" si="7"/>
        <v>0</v>
      </c>
      <c r="I59">
        <f t="shared" ca="1" si="8"/>
        <v>0</v>
      </c>
      <c r="J59" s="394" t="s">
        <v>103</v>
      </c>
      <c r="K59" s="162" t="str">
        <f t="shared" ca="1" si="9"/>
        <v>1.6.0.0.1.</v>
      </c>
      <c r="L59" s="395" t="s">
        <v>236</v>
      </c>
      <c r="M59" s="395" t="s">
        <v>312</v>
      </c>
      <c r="N59" s="397" t="s">
        <v>313</v>
      </c>
      <c r="O59" s="398" t="s">
        <v>316</v>
      </c>
      <c r="P59" s="399">
        <v>973.08999999999992</v>
      </c>
      <c r="Q59" s="228"/>
      <c r="R59" s="231" t="s">
        <v>7</v>
      </c>
      <c r="S59" s="121">
        <f t="shared" si="10"/>
        <v>0</v>
      </c>
      <c r="T59" s="98">
        <f t="shared" si="11"/>
        <v>0</v>
      </c>
      <c r="U59" s="13" t="str">
        <f>IF($J59="","",IF($N59="","DESCRIÇÃO",IF(AND($J59="Serviço",$O59=""),"UNIDADE",IF($T59&lt;=0,"SEM VALOR",IF(AND($Y59&lt;&gt;"",$Q59&gt;$Y59),"ACIMA REF.","")))))</f>
        <v>SEM VALOR</v>
      </c>
      <c r="V59" s="4" t="str">
        <f ca="1">IF(OR($A59=0,$A59="S",$A59&gt;CFF!$A$9),"",MAX(V$12:OFFSET(V59,-1,0))+1)</f>
        <v/>
      </c>
      <c r="W59" s="9" t="str">
        <f>IF(AND($J59="Serviço",$M59&lt;&gt;""),IF($L59="",$M59,CONCATENATE($L59,"-",$M59)))</f>
        <v>SEE/MG-050001</v>
      </c>
      <c r="X59" s="4" t="e">
        <f t="shared" ca="1" si="14"/>
        <v>#REF!</v>
      </c>
      <c r="Y59" s="121">
        <v>48.298976000000003</v>
      </c>
      <c r="Z59" s="132">
        <f ca="1">ROUND(IF(ISNUMBER(R59),R59,IF(LEFT(R59,3)="BDI",HLOOKUP(R59,DADOS!$T$37:$X$38,2,FALSE),0)),15-11*$X$5)</f>
        <v>0.27639999999999998</v>
      </c>
      <c r="AA59" s="4"/>
    </row>
    <row r="60" spans="1:27" x14ac:dyDescent="0.2">
      <c r="A60" t="str">
        <f t="shared" si="0"/>
        <v>S</v>
      </c>
      <c r="B60">
        <f t="shared" si="1"/>
        <v>0</v>
      </c>
      <c r="C60">
        <f t="shared" ca="1" si="2"/>
        <v>1</v>
      </c>
      <c r="D60">
        <f t="shared" ca="1" si="3"/>
        <v>6</v>
      </c>
      <c r="E60">
        <f t="shared" ca="1" si="4"/>
        <v>0</v>
      </c>
      <c r="F60">
        <f t="shared" ca="1" si="5"/>
        <v>0</v>
      </c>
      <c r="G60">
        <f t="shared" ca="1" si="6"/>
        <v>2</v>
      </c>
      <c r="H60">
        <f t="shared" ca="1" si="7"/>
        <v>0</v>
      </c>
      <c r="I60">
        <f t="shared" ca="1" si="8"/>
        <v>0</v>
      </c>
      <c r="J60" s="394" t="s">
        <v>103</v>
      </c>
      <c r="K60" s="162" t="str">
        <f t="shared" ca="1" si="9"/>
        <v>1.6.0.0.2.</v>
      </c>
      <c r="L60" s="395" t="s">
        <v>236</v>
      </c>
      <c r="M60" s="395" t="s">
        <v>314</v>
      </c>
      <c r="N60" s="397" t="s">
        <v>315</v>
      </c>
      <c r="O60" s="398" t="s">
        <v>316</v>
      </c>
      <c r="P60" s="399">
        <v>12.92</v>
      </c>
      <c r="Q60" s="228"/>
      <c r="R60" s="231" t="s">
        <v>7</v>
      </c>
      <c r="S60" s="121">
        <f t="shared" si="10"/>
        <v>0</v>
      </c>
      <c r="T60" s="98">
        <f t="shared" si="11"/>
        <v>0</v>
      </c>
      <c r="U60" s="13" t="str">
        <f>IF($J60="","",IF($N60="","DESCRIÇÃO",IF(AND($J60="Serviço",$O60=""),"UNIDADE",IF($T60&lt;=0,"SEM VALOR",IF(AND($Y60&lt;&gt;"",$Q60&gt;$Y60),"ACIMA REF.","")))))</f>
        <v>SEM VALOR</v>
      </c>
      <c r="V60" s="4" t="str">
        <f ca="1">IF(OR($A60=0,$A60="S",$A60&gt;CFF!$A$9),"",MAX(V$12:OFFSET(V60,-1,0))+1)</f>
        <v/>
      </c>
      <c r="W60" s="9" t="str">
        <f>IF(AND($J60="Serviço",$M60&lt;&gt;""),IF($L60="",$M60,CONCATENATE($L60,"-",$M60)))</f>
        <v>SEE/MG-050002</v>
      </c>
      <c r="X60" s="4" t="e">
        <f t="shared" ca="1" si="14"/>
        <v>#REF!</v>
      </c>
      <c r="Y60" s="121">
        <v>707.96802400000001</v>
      </c>
      <c r="Z60" s="132">
        <f ca="1">ROUND(IF(ISNUMBER(R60),R60,IF(LEFT(R60,3)="BDI",HLOOKUP(R60,DADOS!$T$37:$X$38,2,FALSE),0)),15-11*$X$5)</f>
        <v>0.27639999999999998</v>
      </c>
      <c r="AA60" s="4"/>
    </row>
    <row r="61" spans="1:27" x14ac:dyDescent="0.2">
      <c r="A61">
        <f t="shared" si="0"/>
        <v>2</v>
      </c>
      <c r="B61">
        <f t="shared" ca="1" si="1"/>
        <v>18</v>
      </c>
      <c r="C61">
        <f t="shared" ca="1" si="2"/>
        <v>1</v>
      </c>
      <c r="D61">
        <f t="shared" ca="1" si="3"/>
        <v>7</v>
      </c>
      <c r="E61">
        <f t="shared" ca="1" si="4"/>
        <v>0</v>
      </c>
      <c r="F61">
        <f t="shared" ca="1" si="5"/>
        <v>0</v>
      </c>
      <c r="G61">
        <f t="shared" ca="1" si="6"/>
        <v>0</v>
      </c>
      <c r="H61">
        <f t="shared" ca="1" si="7"/>
        <v>166</v>
      </c>
      <c r="I61">
        <f t="shared" ca="1" si="8"/>
        <v>18</v>
      </c>
      <c r="J61" s="394" t="s">
        <v>100</v>
      </c>
      <c r="K61" s="162" t="str">
        <f t="shared" ca="1" si="9"/>
        <v>1.7.</v>
      </c>
      <c r="L61" s="395"/>
      <c r="M61" s="395" t="s">
        <v>317</v>
      </c>
      <c r="N61" s="397" t="s">
        <v>318</v>
      </c>
      <c r="O61" s="398"/>
      <c r="P61" s="399"/>
      <c r="Q61" s="228"/>
      <c r="R61" s="231" t="s">
        <v>7</v>
      </c>
      <c r="S61" s="121">
        <f t="shared" si="10"/>
        <v>0</v>
      </c>
      <c r="T61" s="98">
        <f t="shared" ca="1" si="11"/>
        <v>0</v>
      </c>
      <c r="U61" s="13" t="str">
        <f ca="1">IF($J61="","",IF($N61="","DESCRIÇÃO",IF(AND($J61="Serviço",$O61=""),"UNIDADE",IF($T61&lt;=0,"SEM VALOR",IF(AND($Y61&lt;&gt;"",$Q61&gt;$Y61),"ACIMA REF.","")))))</f>
        <v>SEM VALOR</v>
      </c>
      <c r="V61" s="4">
        <f ca="1">IF(OR($A61=0,$A61="S",$A61&gt;CFF!$A$9),"",MAX(V$12:OFFSET(V61,-1,0))+1)</f>
        <v>8</v>
      </c>
      <c r="W61" s="9" t="b">
        <f>IF(AND($J61="Serviço",$M61&lt;&gt;""),IF($L61="",$M61,CONCATENATE($L61,"-",$M61)))</f>
        <v>0</v>
      </c>
      <c r="X61" s="4" t="str">
        <f t="shared" ca="1" si="14"/>
        <v>X</v>
      </c>
      <c r="Y61" s="121">
        <v>0</v>
      </c>
      <c r="Z61" s="132">
        <f ca="1">ROUND(IF(ISNUMBER(R61),R61,IF(LEFT(R61,3)="BDI",HLOOKUP(R61,DADOS!$T$37:$X$38,2,FALSE),0)),15-11*$X$5)</f>
        <v>0.27639999999999998</v>
      </c>
      <c r="AA61" s="4"/>
    </row>
    <row r="62" spans="1:27" x14ac:dyDescent="0.2">
      <c r="A62">
        <f t="shared" si="0"/>
        <v>3</v>
      </c>
      <c r="B62">
        <f t="shared" ca="1" si="1"/>
        <v>3</v>
      </c>
      <c r="C62">
        <f t="shared" ca="1" si="2"/>
        <v>1</v>
      </c>
      <c r="D62">
        <f t="shared" ca="1" si="3"/>
        <v>7</v>
      </c>
      <c r="E62">
        <f t="shared" ca="1" si="4"/>
        <v>1</v>
      </c>
      <c r="F62">
        <f t="shared" ca="1" si="5"/>
        <v>0</v>
      </c>
      <c r="G62">
        <f t="shared" ca="1" si="6"/>
        <v>0</v>
      </c>
      <c r="H62">
        <f t="shared" ca="1" si="7"/>
        <v>17</v>
      </c>
      <c r="I62">
        <f t="shared" ca="1" si="8"/>
        <v>3</v>
      </c>
      <c r="J62" s="394" t="s">
        <v>101</v>
      </c>
      <c r="K62" s="162" t="str">
        <f t="shared" ca="1" si="9"/>
        <v>1.7.1.</v>
      </c>
      <c r="L62" s="395"/>
      <c r="M62" s="395"/>
      <c r="N62" s="397" t="s">
        <v>319</v>
      </c>
      <c r="O62" s="398"/>
      <c r="P62" s="399"/>
      <c r="Q62" s="228"/>
      <c r="R62" s="231" t="s">
        <v>7</v>
      </c>
      <c r="S62" s="121">
        <f t="shared" si="10"/>
        <v>0</v>
      </c>
      <c r="T62" s="98">
        <f t="shared" ca="1" si="11"/>
        <v>0</v>
      </c>
      <c r="U62" s="13" t="str">
        <f t="shared" ca="1" si="12"/>
        <v>SEM VALOR</v>
      </c>
      <c r="V62" s="4" t="str">
        <f ca="1">IF(OR($A62=0,$A62="S",$A62&gt;CFF!$A$9),"",MAX(V$12:OFFSET(V62,-1,0))+1)</f>
        <v/>
      </c>
      <c r="W62" s="9" t="b">
        <f t="shared" si="13"/>
        <v>0</v>
      </c>
      <c r="X62" s="4" t="str">
        <f t="shared" ca="1" si="14"/>
        <v>X</v>
      </c>
      <c r="Y62" s="121">
        <v>0</v>
      </c>
      <c r="Z62" s="132">
        <f ca="1">ROUND(IF(ISNUMBER(R62),R62,IF(LEFT(R62,3)="BDI",HLOOKUP(R62,DADOS!$T$37:$X$38,2,FALSE),0)),15-11*$X$5)</f>
        <v>0.27639999999999998</v>
      </c>
      <c r="AA62" s="4"/>
    </row>
    <row r="63" spans="1:27" ht="25.5" x14ac:dyDescent="0.2">
      <c r="A63" t="str">
        <f t="shared" si="0"/>
        <v>S</v>
      </c>
      <c r="B63">
        <f t="shared" si="1"/>
        <v>0</v>
      </c>
      <c r="C63">
        <f t="shared" ca="1" si="2"/>
        <v>1</v>
      </c>
      <c r="D63">
        <f t="shared" ca="1" si="3"/>
        <v>7</v>
      </c>
      <c r="E63">
        <f t="shared" ca="1" si="4"/>
        <v>1</v>
      </c>
      <c r="F63">
        <f t="shared" ca="1" si="5"/>
        <v>0</v>
      </c>
      <c r="G63">
        <f t="shared" ca="1" si="6"/>
        <v>1</v>
      </c>
      <c r="H63">
        <f t="shared" ca="1" si="7"/>
        <v>0</v>
      </c>
      <c r="I63">
        <f t="shared" ca="1" si="8"/>
        <v>0</v>
      </c>
      <c r="J63" s="394" t="s">
        <v>103</v>
      </c>
      <c r="K63" s="162" t="str">
        <f t="shared" ca="1" si="9"/>
        <v>1.7.1.0.1.</v>
      </c>
      <c r="L63" s="395" t="s">
        <v>236</v>
      </c>
      <c r="M63" s="395" t="s">
        <v>320</v>
      </c>
      <c r="N63" s="397" t="s">
        <v>321</v>
      </c>
      <c r="O63" s="398" t="s">
        <v>322</v>
      </c>
      <c r="P63" s="399">
        <v>21</v>
      </c>
      <c r="Q63" s="228"/>
      <c r="R63" s="231" t="s">
        <v>7</v>
      </c>
      <c r="S63" s="121">
        <f t="shared" si="10"/>
        <v>0</v>
      </c>
      <c r="T63" s="98">
        <f t="shared" si="11"/>
        <v>0</v>
      </c>
      <c r="U63" s="13" t="str">
        <f t="shared" si="12"/>
        <v>SEM VALOR</v>
      </c>
      <c r="V63" s="4" t="str">
        <f ca="1">IF(OR($A63=0,$A63="S",$A63&gt;CFF!$A$9),"",MAX(V$12:OFFSET(V63,-1,0))+1)</f>
        <v/>
      </c>
      <c r="W63" s="9" t="str">
        <f t="shared" si="13"/>
        <v>SEE/MG-060001</v>
      </c>
      <c r="X63" s="4" t="e">
        <f t="shared" ca="1" si="14"/>
        <v>#REF!</v>
      </c>
      <c r="Y63" s="121">
        <v>899.61948400000006</v>
      </c>
      <c r="Z63" s="132">
        <f ca="1">ROUND(IF(ISNUMBER(R63),R63,IF(LEFT(R63,3)="BDI",HLOOKUP(R63,DADOS!$T$37:$X$38,2,FALSE),0)),15-11*$X$5)</f>
        <v>0.27639999999999998</v>
      </c>
      <c r="AA63" s="4"/>
    </row>
    <row r="64" spans="1:27" ht="25.5" x14ac:dyDescent="0.2">
      <c r="A64" t="str">
        <f t="shared" si="0"/>
        <v>S</v>
      </c>
      <c r="B64">
        <f t="shared" si="1"/>
        <v>0</v>
      </c>
      <c r="C64">
        <f t="shared" ca="1" si="2"/>
        <v>1</v>
      </c>
      <c r="D64">
        <f t="shared" ca="1" si="3"/>
        <v>7</v>
      </c>
      <c r="E64">
        <f t="shared" ca="1" si="4"/>
        <v>1</v>
      </c>
      <c r="F64">
        <f t="shared" ca="1" si="5"/>
        <v>0</v>
      </c>
      <c r="G64">
        <f t="shared" ca="1" si="6"/>
        <v>2</v>
      </c>
      <c r="H64">
        <f t="shared" ca="1" si="7"/>
        <v>0</v>
      </c>
      <c r="I64">
        <f t="shared" ca="1" si="8"/>
        <v>0</v>
      </c>
      <c r="J64" s="394" t="s">
        <v>103</v>
      </c>
      <c r="K64" s="162" t="str">
        <f t="shared" ca="1" si="9"/>
        <v>1.7.1.0.2.</v>
      </c>
      <c r="L64" s="395" t="s">
        <v>236</v>
      </c>
      <c r="M64" s="395" t="s">
        <v>323</v>
      </c>
      <c r="N64" s="397" t="s">
        <v>324</v>
      </c>
      <c r="O64" s="398" t="s">
        <v>322</v>
      </c>
      <c r="P64" s="399">
        <v>4</v>
      </c>
      <c r="Q64" s="228"/>
      <c r="R64" s="231" t="s">
        <v>7</v>
      </c>
      <c r="S64" s="121">
        <f t="shared" si="10"/>
        <v>0</v>
      </c>
      <c r="T64" s="98">
        <f t="shared" si="11"/>
        <v>0</v>
      </c>
      <c r="U64" s="13" t="str">
        <f t="shared" si="12"/>
        <v>SEM VALOR</v>
      </c>
      <c r="V64" s="4" t="str">
        <f ca="1">IF(OR($A64=0,$A64="S",$A64&gt;CFF!$A$9),"",MAX(V$12:OFFSET(V64,-1,0))+1)</f>
        <v/>
      </c>
      <c r="W64" s="9" t="str">
        <f t="shared" si="13"/>
        <v>SEE/MG-060002</v>
      </c>
      <c r="X64" s="4" t="e">
        <f t="shared" ca="1" si="14"/>
        <v>#REF!</v>
      </c>
      <c r="Y64" s="121">
        <v>892.02490399999999</v>
      </c>
      <c r="Z64" s="132">
        <f ca="1">ROUND(IF(ISNUMBER(R64),R64,IF(LEFT(R64,3)="BDI",HLOOKUP(R64,DADOS!$T$37:$X$38,2,FALSE),0)),15-11*$X$5)</f>
        <v>0.27639999999999998</v>
      </c>
      <c r="AA64" s="4"/>
    </row>
    <row r="65" spans="1:27" x14ac:dyDescent="0.2">
      <c r="A65">
        <f t="shared" si="0"/>
        <v>3</v>
      </c>
      <c r="B65">
        <f t="shared" ca="1" si="1"/>
        <v>11</v>
      </c>
      <c r="C65">
        <f t="shared" ca="1" si="2"/>
        <v>1</v>
      </c>
      <c r="D65">
        <f t="shared" ca="1" si="3"/>
        <v>7</v>
      </c>
      <c r="E65">
        <f t="shared" ca="1" si="4"/>
        <v>2</v>
      </c>
      <c r="F65">
        <f t="shared" ca="1" si="5"/>
        <v>0</v>
      </c>
      <c r="G65">
        <f t="shared" ca="1" si="6"/>
        <v>0</v>
      </c>
      <c r="H65">
        <f t="shared" ca="1" si="7"/>
        <v>14</v>
      </c>
      <c r="I65">
        <f t="shared" ca="1" si="8"/>
        <v>11</v>
      </c>
      <c r="J65" s="394" t="s">
        <v>101</v>
      </c>
      <c r="K65" s="162" t="str">
        <f t="shared" ca="1" si="9"/>
        <v>1.7.2.</v>
      </c>
      <c r="L65" s="395"/>
      <c r="M65" s="395"/>
      <c r="N65" s="397" t="s">
        <v>325</v>
      </c>
      <c r="O65" s="398"/>
      <c r="P65" s="399"/>
      <c r="Q65" s="228"/>
      <c r="R65" s="231" t="s">
        <v>7</v>
      </c>
      <c r="S65" s="121">
        <f t="shared" si="10"/>
        <v>0</v>
      </c>
      <c r="T65" s="98">
        <f t="shared" ca="1" si="11"/>
        <v>0</v>
      </c>
      <c r="U65" s="13" t="str">
        <f t="shared" ca="1" si="12"/>
        <v>SEM VALOR</v>
      </c>
      <c r="V65" s="4" t="str">
        <f ca="1">IF(OR($A65=0,$A65="S",$A65&gt;CFF!$A$9),"",MAX(V$12:OFFSET(V65,-1,0))+1)</f>
        <v/>
      </c>
      <c r="W65" s="9" t="b">
        <f t="shared" si="13"/>
        <v>0</v>
      </c>
      <c r="X65" s="4" t="str">
        <f t="shared" ca="1" si="14"/>
        <v>X</v>
      </c>
      <c r="Y65" s="121">
        <v>0</v>
      </c>
      <c r="Z65" s="132">
        <f ca="1">ROUND(IF(ISNUMBER(R65),R65,IF(LEFT(R65,3)="BDI",HLOOKUP(R65,DADOS!$T$37:$X$38,2,FALSE),0)),15-11*$X$5)</f>
        <v>0.27639999999999998</v>
      </c>
      <c r="AA65" s="4"/>
    </row>
    <row r="66" spans="1:27" x14ac:dyDescent="0.2">
      <c r="A66" t="str">
        <f t="shared" si="0"/>
        <v>S</v>
      </c>
      <c r="B66">
        <f t="shared" si="1"/>
        <v>0</v>
      </c>
      <c r="C66">
        <f t="shared" ca="1" si="2"/>
        <v>1</v>
      </c>
      <c r="D66">
        <f t="shared" ca="1" si="3"/>
        <v>7</v>
      </c>
      <c r="E66">
        <f t="shared" ca="1" si="4"/>
        <v>2</v>
      </c>
      <c r="F66">
        <f t="shared" ca="1" si="5"/>
        <v>0</v>
      </c>
      <c r="G66">
        <f t="shared" ca="1" si="6"/>
        <v>1</v>
      </c>
      <c r="H66">
        <f t="shared" ca="1" si="7"/>
        <v>0</v>
      </c>
      <c r="I66">
        <f t="shared" ca="1" si="8"/>
        <v>0</v>
      </c>
      <c r="J66" s="394" t="s">
        <v>103</v>
      </c>
      <c r="K66" s="162" t="str">
        <f t="shared" ca="1" si="9"/>
        <v>1.7.2.0.1.</v>
      </c>
      <c r="L66" s="395" t="s">
        <v>236</v>
      </c>
      <c r="M66" s="395" t="s">
        <v>326</v>
      </c>
      <c r="N66" s="397" t="s">
        <v>327</v>
      </c>
      <c r="O66" s="398" t="s">
        <v>322</v>
      </c>
      <c r="P66" s="399">
        <v>25</v>
      </c>
      <c r="Q66" s="228"/>
      <c r="R66" s="231" t="s">
        <v>7</v>
      </c>
      <c r="S66" s="121">
        <f t="shared" si="10"/>
        <v>0</v>
      </c>
      <c r="T66" s="98">
        <f t="shared" si="11"/>
        <v>0</v>
      </c>
      <c r="U66" s="13" t="str">
        <f t="shared" si="12"/>
        <v>SEM VALOR</v>
      </c>
      <c r="V66" s="4" t="str">
        <f ca="1">IF(OR($A66=0,$A66="S",$A66&gt;CFF!$A$9),"",MAX(V$12:OFFSET(V66,-1,0))+1)</f>
        <v/>
      </c>
      <c r="W66" s="9" t="str">
        <f t="shared" si="13"/>
        <v>SEE/MG-060003</v>
      </c>
      <c r="X66" s="4" t="e">
        <f t="shared" ca="1" si="14"/>
        <v>#REF!</v>
      </c>
      <c r="Y66" s="121">
        <v>306.06795599999998</v>
      </c>
      <c r="Z66" s="132">
        <f ca="1">ROUND(IF(ISNUMBER(R66),R66,IF(LEFT(R66,3)="BDI",HLOOKUP(R66,DADOS!$T$37:$X$38,2,FALSE),0)),15-11*$X$5)</f>
        <v>0.27639999999999998</v>
      </c>
      <c r="AA66" s="4"/>
    </row>
    <row r="67" spans="1:27" x14ac:dyDescent="0.2">
      <c r="A67" t="str">
        <f t="shared" si="0"/>
        <v>S</v>
      </c>
      <c r="B67">
        <f t="shared" si="1"/>
        <v>0</v>
      </c>
      <c r="C67">
        <f t="shared" ca="1" si="2"/>
        <v>1</v>
      </c>
      <c r="D67">
        <f t="shared" ca="1" si="3"/>
        <v>7</v>
      </c>
      <c r="E67">
        <f t="shared" ca="1" si="4"/>
        <v>2</v>
      </c>
      <c r="F67">
        <f t="shared" ca="1" si="5"/>
        <v>0</v>
      </c>
      <c r="G67">
        <f t="shared" ca="1" si="6"/>
        <v>2</v>
      </c>
      <c r="H67">
        <f t="shared" ca="1" si="7"/>
        <v>0</v>
      </c>
      <c r="I67">
        <f t="shared" ca="1" si="8"/>
        <v>0</v>
      </c>
      <c r="J67" s="394" t="s">
        <v>103</v>
      </c>
      <c r="K67" s="162" t="str">
        <f t="shared" ca="1" si="9"/>
        <v>1.7.2.0.2.</v>
      </c>
      <c r="L67" s="395" t="s">
        <v>236</v>
      </c>
      <c r="M67" s="395" t="s">
        <v>328</v>
      </c>
      <c r="N67" s="397" t="s">
        <v>329</v>
      </c>
      <c r="O67" s="398" t="s">
        <v>316</v>
      </c>
      <c r="P67" s="399">
        <v>1.68</v>
      </c>
      <c r="Q67" s="228"/>
      <c r="R67" s="231" t="s">
        <v>7</v>
      </c>
      <c r="S67" s="121">
        <f t="shared" si="10"/>
        <v>0</v>
      </c>
      <c r="T67" s="98">
        <f t="shared" si="11"/>
        <v>0</v>
      </c>
      <c r="U67" s="13" t="str">
        <f t="shared" si="12"/>
        <v>SEM VALOR</v>
      </c>
      <c r="V67" s="4" t="str">
        <f ca="1">IF(OR($A67=0,$A67="S",$A67&gt;CFF!$A$9),"",MAX(V$12:OFFSET(V67,-1,0))+1)</f>
        <v/>
      </c>
      <c r="W67" s="9" t="str">
        <f t="shared" si="13"/>
        <v>SEE/MG-060004</v>
      </c>
      <c r="X67" s="4" t="e">
        <f t="shared" ca="1" si="14"/>
        <v>#REF!</v>
      </c>
      <c r="Y67" s="121">
        <v>531.31426399999998</v>
      </c>
      <c r="Z67" s="132">
        <f ca="1">ROUND(IF(ISNUMBER(R67),R67,IF(LEFT(R67,3)="BDI",HLOOKUP(R67,DADOS!$T$37:$X$38,2,FALSE),0)),15-11*$X$5)</f>
        <v>0.27639999999999998</v>
      </c>
      <c r="AA67" s="4"/>
    </row>
    <row r="68" spans="1:27" x14ac:dyDescent="0.2">
      <c r="A68" t="str">
        <f t="shared" si="0"/>
        <v>S</v>
      </c>
      <c r="B68">
        <f t="shared" si="1"/>
        <v>0</v>
      </c>
      <c r="C68">
        <f t="shared" ca="1" si="2"/>
        <v>1</v>
      </c>
      <c r="D68">
        <f t="shared" ca="1" si="3"/>
        <v>7</v>
      </c>
      <c r="E68">
        <f t="shared" ca="1" si="4"/>
        <v>2</v>
      </c>
      <c r="F68">
        <f t="shared" ca="1" si="5"/>
        <v>0</v>
      </c>
      <c r="G68">
        <f t="shared" ca="1" si="6"/>
        <v>3</v>
      </c>
      <c r="H68">
        <f t="shared" ca="1" si="7"/>
        <v>0</v>
      </c>
      <c r="I68">
        <f t="shared" ca="1" si="8"/>
        <v>0</v>
      </c>
      <c r="J68" s="394" t="s">
        <v>103</v>
      </c>
      <c r="K68" s="162" t="str">
        <f t="shared" ca="1" si="9"/>
        <v>1.7.2.0.3.</v>
      </c>
      <c r="L68" s="395" t="s">
        <v>236</v>
      </c>
      <c r="M68" s="395" t="s">
        <v>330</v>
      </c>
      <c r="N68" s="397" t="s">
        <v>331</v>
      </c>
      <c r="O68" s="398" t="s">
        <v>316</v>
      </c>
      <c r="P68" s="399">
        <v>99.44</v>
      </c>
      <c r="Q68" s="228"/>
      <c r="R68" s="231" t="s">
        <v>7</v>
      </c>
      <c r="S68" s="121">
        <f t="shared" si="10"/>
        <v>0</v>
      </c>
      <c r="T68" s="98">
        <f t="shared" si="11"/>
        <v>0</v>
      </c>
      <c r="U68" s="13" t="str">
        <f t="shared" si="12"/>
        <v>SEM VALOR</v>
      </c>
      <c r="V68" s="4" t="str">
        <f ca="1">IF(OR($A68=0,$A68="S",$A68&gt;CFF!$A$9),"",MAX(V$12:OFFSET(V68,-1,0))+1)</f>
        <v/>
      </c>
      <c r="W68" s="9" t="str">
        <f t="shared" si="13"/>
        <v>SEE/MG-060005</v>
      </c>
      <c r="X68" s="4" t="e">
        <f t="shared" ca="1" si="14"/>
        <v>#REF!</v>
      </c>
      <c r="Y68" s="121">
        <v>511.938512</v>
      </c>
      <c r="Z68" s="132">
        <f ca="1">ROUND(IF(ISNUMBER(R68),R68,IF(LEFT(R68,3)="BDI",HLOOKUP(R68,DADOS!$T$37:$X$38,2,FALSE),0)),15-11*$X$5)</f>
        <v>0.27639999999999998</v>
      </c>
      <c r="AA68" s="4"/>
    </row>
    <row r="69" spans="1:27" x14ac:dyDescent="0.2">
      <c r="A69" t="str">
        <f t="shared" si="0"/>
        <v>S</v>
      </c>
      <c r="B69">
        <f t="shared" si="1"/>
        <v>0</v>
      </c>
      <c r="C69">
        <f t="shared" ca="1" si="2"/>
        <v>1</v>
      </c>
      <c r="D69">
        <f t="shared" ca="1" si="3"/>
        <v>7</v>
      </c>
      <c r="E69">
        <f t="shared" ca="1" si="4"/>
        <v>2</v>
      </c>
      <c r="F69">
        <f t="shared" ca="1" si="5"/>
        <v>0</v>
      </c>
      <c r="G69">
        <f t="shared" ca="1" si="6"/>
        <v>4</v>
      </c>
      <c r="H69">
        <f t="shared" ca="1" si="7"/>
        <v>0</v>
      </c>
      <c r="I69">
        <f t="shared" ca="1" si="8"/>
        <v>0</v>
      </c>
      <c r="J69" s="394" t="s">
        <v>103</v>
      </c>
      <c r="K69" s="162" t="str">
        <f t="shared" ca="1" si="9"/>
        <v>1.7.2.0.4.</v>
      </c>
      <c r="L69" s="395" t="s">
        <v>236</v>
      </c>
      <c r="M69" s="395" t="s">
        <v>332</v>
      </c>
      <c r="N69" s="397" t="s">
        <v>333</v>
      </c>
      <c r="O69" s="398" t="s">
        <v>260</v>
      </c>
      <c r="P69" s="399">
        <v>4.2</v>
      </c>
      <c r="Q69" s="228"/>
      <c r="R69" s="231" t="s">
        <v>7</v>
      </c>
      <c r="S69" s="121">
        <f t="shared" si="10"/>
        <v>0</v>
      </c>
      <c r="T69" s="98">
        <f t="shared" si="11"/>
        <v>0</v>
      </c>
      <c r="U69" s="13" t="str">
        <f t="shared" si="12"/>
        <v>SEM VALOR</v>
      </c>
      <c r="V69" s="4" t="str">
        <f ca="1">IF(OR($A69=0,$A69="S",$A69&gt;CFF!$A$9),"",MAX(V$12:OFFSET(V69,-1,0))+1)</f>
        <v/>
      </c>
      <c r="W69" s="9" t="str">
        <f t="shared" si="13"/>
        <v>SEE/MG-060006</v>
      </c>
      <c r="X69" s="4" t="e">
        <f t="shared" ca="1" si="14"/>
        <v>#REF!</v>
      </c>
      <c r="Y69" s="121">
        <v>79.838819999999998</v>
      </c>
      <c r="Z69" s="132">
        <f ca="1">ROUND(IF(ISNUMBER(R69),R69,IF(LEFT(R69,3)="BDI",HLOOKUP(R69,DADOS!$T$37:$X$38,2,FALSE),0)),15-11*$X$5)</f>
        <v>0.27639999999999998</v>
      </c>
      <c r="AA69" s="4"/>
    </row>
    <row r="70" spans="1:27" x14ac:dyDescent="0.2">
      <c r="A70" t="str">
        <f t="shared" si="0"/>
        <v>S</v>
      </c>
      <c r="B70">
        <f t="shared" si="1"/>
        <v>0</v>
      </c>
      <c r="C70">
        <f t="shared" ca="1" si="2"/>
        <v>1</v>
      </c>
      <c r="D70">
        <f t="shared" ca="1" si="3"/>
        <v>7</v>
      </c>
      <c r="E70">
        <f t="shared" ca="1" si="4"/>
        <v>2</v>
      </c>
      <c r="F70">
        <f t="shared" ca="1" si="5"/>
        <v>0</v>
      </c>
      <c r="G70">
        <f t="shared" ca="1" si="6"/>
        <v>5</v>
      </c>
      <c r="H70">
        <f t="shared" ca="1" si="7"/>
        <v>0</v>
      </c>
      <c r="I70">
        <f t="shared" ca="1" si="8"/>
        <v>0</v>
      </c>
      <c r="J70" s="394" t="s">
        <v>103</v>
      </c>
      <c r="K70" s="162" t="str">
        <f t="shared" ca="1" si="9"/>
        <v>1.7.2.0.5.</v>
      </c>
      <c r="L70" s="395" t="s">
        <v>236</v>
      </c>
      <c r="M70" s="395" t="s">
        <v>334</v>
      </c>
      <c r="N70" s="397" t="s">
        <v>335</v>
      </c>
      <c r="O70" s="398" t="s">
        <v>260</v>
      </c>
      <c r="P70" s="399">
        <v>1.98</v>
      </c>
      <c r="Q70" s="228"/>
      <c r="R70" s="231" t="s">
        <v>7</v>
      </c>
      <c r="S70" s="121">
        <f t="shared" si="10"/>
        <v>0</v>
      </c>
      <c r="T70" s="98">
        <f t="shared" si="11"/>
        <v>0</v>
      </c>
      <c r="U70" s="13" t="str">
        <f t="shared" si="12"/>
        <v>SEM VALOR</v>
      </c>
      <c r="V70" s="4" t="str">
        <f ca="1">IF(OR($A70=0,$A70="S",$A70&gt;CFF!$A$9),"",MAX(V$12:OFFSET(V70,-1,0))+1)</f>
        <v/>
      </c>
      <c r="W70" s="9" t="str">
        <f t="shared" si="13"/>
        <v>SEE/MG-060007</v>
      </c>
      <c r="X70" s="4" t="e">
        <f t="shared" ca="1" si="14"/>
        <v>#REF!</v>
      </c>
      <c r="Y70" s="121">
        <v>131.4692</v>
      </c>
      <c r="Z70" s="132">
        <f ca="1">ROUND(IF(ISNUMBER(R70),R70,IF(LEFT(R70,3)="BDI",HLOOKUP(R70,DADOS!$T$37:$X$38,2,FALSE),0)),15-11*$X$5)</f>
        <v>0.27639999999999998</v>
      </c>
      <c r="AA70" s="4"/>
    </row>
    <row r="71" spans="1:27" ht="25.5" x14ac:dyDescent="0.2">
      <c r="A71" t="str">
        <f t="shared" si="0"/>
        <v>S</v>
      </c>
      <c r="B71">
        <f t="shared" si="1"/>
        <v>0</v>
      </c>
      <c r="C71">
        <f t="shared" ca="1" si="2"/>
        <v>1</v>
      </c>
      <c r="D71">
        <f t="shared" ca="1" si="3"/>
        <v>7</v>
      </c>
      <c r="E71">
        <f t="shared" ca="1" si="4"/>
        <v>2</v>
      </c>
      <c r="F71">
        <f t="shared" ca="1" si="5"/>
        <v>0</v>
      </c>
      <c r="G71">
        <f t="shared" ca="1" si="6"/>
        <v>6</v>
      </c>
      <c r="H71">
        <f t="shared" ca="1" si="7"/>
        <v>0</v>
      </c>
      <c r="I71">
        <f t="shared" ca="1" si="8"/>
        <v>0</v>
      </c>
      <c r="J71" s="394" t="s">
        <v>103</v>
      </c>
      <c r="K71" s="162" t="str">
        <f t="shared" ca="1" si="9"/>
        <v>1.7.2.0.6.</v>
      </c>
      <c r="L71" s="395" t="s">
        <v>347</v>
      </c>
      <c r="M71" s="395" t="s">
        <v>346</v>
      </c>
      <c r="N71" s="397" t="s">
        <v>337</v>
      </c>
      <c r="O71" s="398" t="s">
        <v>336</v>
      </c>
      <c r="P71" s="399">
        <v>23</v>
      </c>
      <c r="Q71" s="228"/>
      <c r="R71" s="231" t="s">
        <v>7</v>
      </c>
      <c r="S71" s="121">
        <f t="shared" si="10"/>
        <v>0</v>
      </c>
      <c r="T71" s="98">
        <f t="shared" si="11"/>
        <v>0</v>
      </c>
      <c r="U71" s="13" t="str">
        <f t="shared" si="12"/>
        <v>SEM VALOR</v>
      </c>
      <c r="V71" s="4" t="str">
        <f ca="1">IF(OR($A71=0,$A71="S",$A71&gt;CFF!$A$9),"",MAX(V$12:OFFSET(V71,-1,0))+1)</f>
        <v/>
      </c>
      <c r="W71" s="9" t="str">
        <f t="shared" si="13"/>
        <v>SINAPI-92550</v>
      </c>
      <c r="X71" s="4" t="e">
        <f t="shared" ca="1" si="14"/>
        <v>#REF!</v>
      </c>
      <c r="Y71" s="121">
        <v>3713.1241839999998</v>
      </c>
      <c r="Z71" s="132">
        <f ca="1">ROUND(IF(ISNUMBER(R71),R71,IF(LEFT(R71,3)="BDI",HLOOKUP(R71,DADOS!$T$37:$X$38,2,FALSE),0)),15-11*$X$5)</f>
        <v>0.27639999999999998</v>
      </c>
      <c r="AA71" s="4"/>
    </row>
    <row r="72" spans="1:27" ht="25.5" x14ac:dyDescent="0.2">
      <c r="A72" t="str">
        <f t="shared" si="0"/>
        <v>S</v>
      </c>
      <c r="B72">
        <f t="shared" si="1"/>
        <v>0</v>
      </c>
      <c r="C72">
        <f t="shared" ca="1" si="2"/>
        <v>1</v>
      </c>
      <c r="D72">
        <f t="shared" ca="1" si="3"/>
        <v>7</v>
      </c>
      <c r="E72">
        <f t="shared" ca="1" si="4"/>
        <v>2</v>
      </c>
      <c r="F72">
        <f t="shared" ca="1" si="5"/>
        <v>0</v>
      </c>
      <c r="G72">
        <f t="shared" ca="1" si="6"/>
        <v>7</v>
      </c>
      <c r="H72">
        <f t="shared" ca="1" si="7"/>
        <v>0</v>
      </c>
      <c r="I72">
        <f t="shared" ca="1" si="8"/>
        <v>0</v>
      </c>
      <c r="J72" s="394" t="s">
        <v>103</v>
      </c>
      <c r="K72" s="162" t="str">
        <f t="shared" ca="1" si="9"/>
        <v>1.7.2.0.7.</v>
      </c>
      <c r="L72" s="395" t="s">
        <v>347</v>
      </c>
      <c r="M72" s="395" t="s">
        <v>348</v>
      </c>
      <c r="N72" s="397" t="s">
        <v>338</v>
      </c>
      <c r="O72" s="398" t="s">
        <v>336</v>
      </c>
      <c r="P72" s="399">
        <v>10</v>
      </c>
      <c r="Q72" s="228"/>
      <c r="R72" s="231" t="s">
        <v>7</v>
      </c>
      <c r="S72" s="121">
        <f t="shared" si="10"/>
        <v>0</v>
      </c>
      <c r="T72" s="98">
        <f t="shared" si="11"/>
        <v>0</v>
      </c>
      <c r="U72" s="13" t="str">
        <f t="shared" si="12"/>
        <v>SEM VALOR</v>
      </c>
      <c r="V72" s="4" t="str">
        <f ca="1">IF(OR($A72=0,$A72="S",$A72&gt;CFF!$A$9),"",MAX(V$12:OFFSET(V72,-1,0))+1)</f>
        <v/>
      </c>
      <c r="W72" s="9" t="str">
        <f t="shared" si="13"/>
        <v>SINAPI-92549</v>
      </c>
      <c r="X72" s="4" t="e">
        <f t="shared" ca="1" si="14"/>
        <v>#REF!</v>
      </c>
      <c r="Y72" s="121">
        <v>2985.384724</v>
      </c>
      <c r="Z72" s="132">
        <f ca="1">ROUND(IF(ISNUMBER(R72),R72,IF(LEFT(R72,3)="BDI",HLOOKUP(R72,DADOS!$T$37:$X$38,2,FALSE),0)),15-11*$X$5)</f>
        <v>0.27639999999999998</v>
      </c>
      <c r="AA72" s="4"/>
    </row>
    <row r="73" spans="1:27" ht="25.5" x14ac:dyDescent="0.2">
      <c r="A73" t="str">
        <f t="shared" si="0"/>
        <v>S</v>
      </c>
      <c r="B73">
        <f t="shared" si="1"/>
        <v>0</v>
      </c>
      <c r="C73">
        <f t="shared" ca="1" si="2"/>
        <v>1</v>
      </c>
      <c r="D73">
        <f t="shared" ca="1" si="3"/>
        <v>7</v>
      </c>
      <c r="E73">
        <f t="shared" ca="1" si="4"/>
        <v>2</v>
      </c>
      <c r="F73">
        <f t="shared" ca="1" si="5"/>
        <v>0</v>
      </c>
      <c r="G73">
        <f t="shared" ca="1" si="6"/>
        <v>8</v>
      </c>
      <c r="H73">
        <f t="shared" ca="1" si="7"/>
        <v>0</v>
      </c>
      <c r="I73">
        <f t="shared" ca="1" si="8"/>
        <v>0</v>
      </c>
      <c r="J73" s="394" t="s">
        <v>103</v>
      </c>
      <c r="K73" s="162" t="str">
        <f t="shared" ca="1" si="9"/>
        <v>1.7.2.0.8.</v>
      </c>
      <c r="L73" s="395" t="s">
        <v>347</v>
      </c>
      <c r="M73" s="395" t="s">
        <v>349</v>
      </c>
      <c r="N73" s="397" t="s">
        <v>339</v>
      </c>
      <c r="O73" s="398" t="s">
        <v>336</v>
      </c>
      <c r="P73" s="399">
        <v>6</v>
      </c>
      <c r="Q73" s="228"/>
      <c r="R73" s="231" t="s">
        <v>7</v>
      </c>
      <c r="S73" s="121">
        <f t="shared" si="10"/>
        <v>0</v>
      </c>
      <c r="T73" s="98">
        <f t="shared" si="11"/>
        <v>0</v>
      </c>
      <c r="U73" s="13" t="str">
        <f t="shared" si="12"/>
        <v>SEM VALOR</v>
      </c>
      <c r="V73" s="4" t="str">
        <f ca="1">IF(OR($A73=0,$A73="S",$A73&gt;CFF!$A$9),"",MAX(V$12:OFFSET(V73,-1,0))+1)</f>
        <v/>
      </c>
      <c r="W73" s="9" t="str">
        <f t="shared" si="13"/>
        <v>SINAPI-92548</v>
      </c>
      <c r="X73" s="4" t="e">
        <f t="shared" ca="1" si="14"/>
        <v>#REF!</v>
      </c>
      <c r="Y73" s="121">
        <v>2466.247316</v>
      </c>
      <c r="Z73" s="132">
        <f ca="1">ROUND(IF(ISNUMBER(R73),R73,IF(LEFT(R73,3)="BDI",HLOOKUP(R73,DADOS!$T$37:$X$38,2,FALSE),0)),15-11*$X$5)</f>
        <v>0.27639999999999998</v>
      </c>
      <c r="AA73" s="4"/>
    </row>
    <row r="74" spans="1:27" ht="25.5" x14ac:dyDescent="0.2">
      <c r="A74" t="str">
        <f t="shared" si="0"/>
        <v>S</v>
      </c>
      <c r="B74">
        <f t="shared" si="1"/>
        <v>0</v>
      </c>
      <c r="C74">
        <f t="shared" ca="1" si="2"/>
        <v>1</v>
      </c>
      <c r="D74">
        <f t="shared" ca="1" si="3"/>
        <v>7</v>
      </c>
      <c r="E74">
        <f t="shared" ca="1" si="4"/>
        <v>2</v>
      </c>
      <c r="F74">
        <f t="shared" ca="1" si="5"/>
        <v>0</v>
      </c>
      <c r="G74">
        <f t="shared" ca="1" si="6"/>
        <v>9</v>
      </c>
      <c r="H74">
        <f t="shared" ca="1" si="7"/>
        <v>0</v>
      </c>
      <c r="I74">
        <f t="shared" ca="1" si="8"/>
        <v>0</v>
      </c>
      <c r="J74" s="394" t="s">
        <v>103</v>
      </c>
      <c r="K74" s="162" t="str">
        <f t="shared" ca="1" si="9"/>
        <v>1.7.2.0.9.</v>
      </c>
      <c r="L74" s="395" t="s">
        <v>347</v>
      </c>
      <c r="M74" s="395" t="s">
        <v>350</v>
      </c>
      <c r="N74" s="397" t="s">
        <v>340</v>
      </c>
      <c r="O74" s="398" t="s">
        <v>336</v>
      </c>
      <c r="P74" s="399">
        <v>6</v>
      </c>
      <c r="Q74" s="228"/>
      <c r="R74" s="231" t="s">
        <v>7</v>
      </c>
      <c r="S74" s="121">
        <f t="shared" si="10"/>
        <v>0</v>
      </c>
      <c r="T74" s="98">
        <f t="shared" si="11"/>
        <v>0</v>
      </c>
      <c r="U74" s="13" t="str">
        <f t="shared" si="12"/>
        <v>SEM VALOR</v>
      </c>
      <c r="V74" s="4" t="str">
        <f ca="1">IF(OR($A74=0,$A74="S",$A74&gt;CFF!$A$9),"",MAX(V$12:OFFSET(V74,-1,0))+1)</f>
        <v/>
      </c>
      <c r="W74" s="9" t="str">
        <f t="shared" si="13"/>
        <v>SINAPI-92546</v>
      </c>
      <c r="X74" s="4" t="e">
        <f t="shared" ca="1" si="14"/>
        <v>#REF!</v>
      </c>
      <c r="Y74" s="121">
        <v>2064.4621240000001</v>
      </c>
      <c r="Z74" s="132">
        <f ca="1">ROUND(IF(ISNUMBER(R74),R74,IF(LEFT(R74,3)="BDI",HLOOKUP(R74,DADOS!$T$37:$X$38,2,FALSE),0)),15-11*$X$5)</f>
        <v>0.27639999999999998</v>
      </c>
      <c r="AA74" s="4"/>
    </row>
    <row r="75" spans="1:27" ht="25.5" x14ac:dyDescent="0.2">
      <c r="A75" t="str">
        <f t="shared" si="0"/>
        <v>S</v>
      </c>
      <c r="B75">
        <f t="shared" si="1"/>
        <v>0</v>
      </c>
      <c r="C75">
        <f t="shared" ca="1" si="2"/>
        <v>1</v>
      </c>
      <c r="D75">
        <f t="shared" ca="1" si="3"/>
        <v>7</v>
      </c>
      <c r="E75">
        <f t="shared" ca="1" si="4"/>
        <v>2</v>
      </c>
      <c r="F75">
        <f t="shared" ca="1" si="5"/>
        <v>0</v>
      </c>
      <c r="G75">
        <f t="shared" ca="1" si="6"/>
        <v>10</v>
      </c>
      <c r="H75">
        <f t="shared" ca="1" si="7"/>
        <v>0</v>
      </c>
      <c r="I75">
        <f t="shared" ca="1" si="8"/>
        <v>0</v>
      </c>
      <c r="J75" s="394" t="s">
        <v>103</v>
      </c>
      <c r="K75" s="162" t="str">
        <f t="shared" ca="1" si="9"/>
        <v>1.7.2.0.10.</v>
      </c>
      <c r="L75" s="395" t="s">
        <v>347</v>
      </c>
      <c r="M75" s="395" t="s">
        <v>351</v>
      </c>
      <c r="N75" s="397" t="s">
        <v>341</v>
      </c>
      <c r="O75" s="398" t="s">
        <v>260</v>
      </c>
      <c r="P75" s="399">
        <v>1189.68</v>
      </c>
      <c r="Q75" s="228"/>
      <c r="R75" s="231" t="s">
        <v>7</v>
      </c>
      <c r="S75" s="121">
        <f t="shared" si="10"/>
        <v>0</v>
      </c>
      <c r="T75" s="98">
        <f t="shared" si="11"/>
        <v>0</v>
      </c>
      <c r="U75" s="13" t="str">
        <f t="shared" si="12"/>
        <v>SEM VALOR</v>
      </c>
      <c r="V75" s="4" t="str">
        <f ca="1">IF(OR($A75=0,$A75="S",$A75&gt;CFF!$A$9),"",MAX(V$12:OFFSET(V75,-1,0))+1)</f>
        <v/>
      </c>
      <c r="W75" s="9" t="str">
        <f t="shared" si="13"/>
        <v>SINAPI-92540</v>
      </c>
      <c r="X75" s="4" t="e">
        <f t="shared" ca="1" si="14"/>
        <v>#REF!</v>
      </c>
      <c r="Y75" s="121">
        <v>151.329984</v>
      </c>
      <c r="Z75" s="132">
        <f ca="1">ROUND(IF(ISNUMBER(R75),R75,IF(LEFT(R75,3)="BDI",HLOOKUP(R75,DADOS!$T$37:$X$38,2,FALSE),0)),15-11*$X$5)</f>
        <v>0.27639999999999998</v>
      </c>
      <c r="AA75" s="4"/>
    </row>
    <row r="76" spans="1:27" x14ac:dyDescent="0.2">
      <c r="A76">
        <f t="shared" si="0"/>
        <v>3</v>
      </c>
      <c r="B76">
        <f t="shared" ca="1" si="1"/>
        <v>3</v>
      </c>
      <c r="C76">
        <f t="shared" ca="1" si="2"/>
        <v>1</v>
      </c>
      <c r="D76">
        <f t="shared" ca="1" si="3"/>
        <v>7</v>
      </c>
      <c r="E76">
        <f t="shared" ca="1" si="4"/>
        <v>3</v>
      </c>
      <c r="F76">
        <f t="shared" ca="1" si="5"/>
        <v>0</v>
      </c>
      <c r="G76">
        <f t="shared" ca="1" si="6"/>
        <v>0</v>
      </c>
      <c r="H76">
        <f t="shared" ca="1" si="7"/>
        <v>3</v>
      </c>
      <c r="I76">
        <f t="shared" ca="1" si="8"/>
        <v>101</v>
      </c>
      <c r="J76" s="394" t="s">
        <v>101</v>
      </c>
      <c r="K76" s="162" t="str">
        <f t="shared" ca="1" si="9"/>
        <v>1.7.3.</v>
      </c>
      <c r="L76" s="395"/>
      <c r="M76" s="395"/>
      <c r="N76" s="397" t="s">
        <v>342</v>
      </c>
      <c r="O76" s="398"/>
      <c r="P76" s="399"/>
      <c r="Q76" s="228"/>
      <c r="R76" s="231" t="s">
        <v>7</v>
      </c>
      <c r="S76" s="121">
        <f t="shared" si="10"/>
        <v>0</v>
      </c>
      <c r="T76" s="98">
        <f t="shared" ca="1" si="11"/>
        <v>0</v>
      </c>
      <c r="U76" s="13" t="str">
        <f t="shared" ca="1" si="12"/>
        <v>SEM VALOR</v>
      </c>
      <c r="V76" s="4" t="str">
        <f ca="1">IF(OR($A76=0,$A76="S",$A76&gt;CFF!$A$9),"",MAX(V$12:OFFSET(V76,-1,0))+1)</f>
        <v/>
      </c>
      <c r="W76" s="9" t="b">
        <f t="shared" si="13"/>
        <v>0</v>
      </c>
      <c r="X76" s="4" t="str">
        <f t="shared" ca="1" si="14"/>
        <v>X</v>
      </c>
      <c r="Y76" s="121">
        <v>0</v>
      </c>
      <c r="Z76" s="132">
        <f ca="1">ROUND(IF(ISNUMBER(R76),R76,IF(LEFT(R76,3)="BDI",HLOOKUP(R76,DADOS!$T$37:$X$38,2,FALSE),0)),15-11*$X$5)</f>
        <v>0.27639999999999998</v>
      </c>
      <c r="AA76" s="4"/>
    </row>
    <row r="77" spans="1:27" x14ac:dyDescent="0.2">
      <c r="A77" t="str">
        <f t="shared" si="0"/>
        <v>S</v>
      </c>
      <c r="B77">
        <f t="shared" si="1"/>
        <v>0</v>
      </c>
      <c r="C77">
        <f t="shared" ca="1" si="2"/>
        <v>1</v>
      </c>
      <c r="D77">
        <f t="shared" ca="1" si="3"/>
        <v>7</v>
      </c>
      <c r="E77">
        <f t="shared" ca="1" si="4"/>
        <v>3</v>
      </c>
      <c r="F77">
        <f t="shared" ca="1" si="5"/>
        <v>0</v>
      </c>
      <c r="G77">
        <f t="shared" ca="1" si="6"/>
        <v>1</v>
      </c>
      <c r="H77">
        <f t="shared" ca="1" si="7"/>
        <v>0</v>
      </c>
      <c r="I77">
        <f t="shared" ca="1" si="8"/>
        <v>0</v>
      </c>
      <c r="J77" s="394" t="s">
        <v>103</v>
      </c>
      <c r="K77" s="162" t="str">
        <f t="shared" ca="1" si="9"/>
        <v>1.7.3.0.1.</v>
      </c>
      <c r="L77" s="395" t="s">
        <v>236</v>
      </c>
      <c r="M77" s="395" t="s">
        <v>343</v>
      </c>
      <c r="N77" s="397" t="s">
        <v>344</v>
      </c>
      <c r="O77" s="398" t="s">
        <v>260</v>
      </c>
      <c r="P77" s="399">
        <v>1189.68</v>
      </c>
      <c r="Q77" s="228"/>
      <c r="R77" s="231" t="s">
        <v>7</v>
      </c>
      <c r="S77" s="121">
        <f t="shared" si="10"/>
        <v>0</v>
      </c>
      <c r="T77" s="98">
        <f t="shared" si="11"/>
        <v>0</v>
      </c>
      <c r="U77" s="13" t="str">
        <f t="shared" si="12"/>
        <v>SEM VALOR</v>
      </c>
      <c r="V77" s="4" t="str">
        <f ca="1">IF(OR($A77=0,$A77="S",$A77&gt;CFF!$A$9),"",MAX(V$12:OFFSET(V77,-1,0))+1)</f>
        <v/>
      </c>
      <c r="W77" s="9" t="str">
        <f t="shared" si="13"/>
        <v>SEE/MG-060013</v>
      </c>
      <c r="X77" s="4" t="e">
        <f t="shared" ca="1" si="14"/>
        <v>#REF!</v>
      </c>
      <c r="Y77" s="121">
        <v>46.448196000000003</v>
      </c>
      <c r="Z77" s="132">
        <f ca="1">ROUND(IF(ISNUMBER(R77),R77,IF(LEFT(R77,3)="BDI",HLOOKUP(R77,DADOS!$T$37:$X$38,2,FALSE),0)),15-11*$X$5)</f>
        <v>0.27639999999999998</v>
      </c>
      <c r="AA77" s="4"/>
    </row>
    <row r="78" spans="1:27" x14ac:dyDescent="0.2">
      <c r="A78" t="str">
        <f t="shared" si="0"/>
        <v>S</v>
      </c>
      <c r="B78">
        <f t="shared" si="1"/>
        <v>0</v>
      </c>
      <c r="C78">
        <f t="shared" ca="1" si="2"/>
        <v>1</v>
      </c>
      <c r="D78">
        <f t="shared" ca="1" si="3"/>
        <v>7</v>
      </c>
      <c r="E78">
        <f t="shared" ca="1" si="4"/>
        <v>3</v>
      </c>
      <c r="F78">
        <f t="shared" ca="1" si="5"/>
        <v>0</v>
      </c>
      <c r="G78">
        <f t="shared" ca="1" si="6"/>
        <v>2</v>
      </c>
      <c r="H78">
        <f t="shared" ca="1" si="7"/>
        <v>0</v>
      </c>
      <c r="I78">
        <f t="shared" ca="1" si="8"/>
        <v>0</v>
      </c>
      <c r="J78" s="394" t="s">
        <v>103</v>
      </c>
      <c r="K78" s="162" t="str">
        <f t="shared" ca="1" si="9"/>
        <v>1.7.3.0.2.</v>
      </c>
      <c r="L78" s="395" t="s">
        <v>236</v>
      </c>
      <c r="M78" s="395" t="s">
        <v>345</v>
      </c>
      <c r="N78" s="397" t="s">
        <v>352</v>
      </c>
      <c r="O78" s="398" t="s">
        <v>275</v>
      </c>
      <c r="P78" s="399">
        <v>213.8</v>
      </c>
      <c r="Q78" s="228"/>
      <c r="R78" s="231" t="s">
        <v>7</v>
      </c>
      <c r="S78" s="121">
        <f t="shared" si="10"/>
        <v>0</v>
      </c>
      <c r="T78" s="98">
        <f t="shared" si="11"/>
        <v>0</v>
      </c>
      <c r="U78" s="13" t="str">
        <f t="shared" si="12"/>
        <v>SEM VALOR</v>
      </c>
      <c r="V78" s="4" t="str">
        <f ca="1">IF(OR($A78=0,$A78="S",$A78&gt;CFF!$A$9),"",MAX(V$12:OFFSET(V78,-1,0))+1)</f>
        <v/>
      </c>
      <c r="W78" s="9" t="str">
        <f t="shared" si="13"/>
        <v>SEE/MG-060014</v>
      </c>
      <c r="X78" s="4" t="e">
        <f t="shared" ca="1" si="14"/>
        <v>#REF!</v>
      </c>
      <c r="Y78" s="121">
        <v>33.556556</v>
      </c>
      <c r="Z78" s="132">
        <f ca="1">ROUND(IF(ISNUMBER(R78),R78,IF(LEFT(R78,3)="BDI",HLOOKUP(R78,DADOS!$T$37:$X$38,2,FALSE),0)),15-11*$X$5)</f>
        <v>0.27639999999999998</v>
      </c>
      <c r="AA78" s="4"/>
    </row>
    <row r="79" spans="1:27" x14ac:dyDescent="0.2">
      <c r="A79">
        <f t="shared" si="0"/>
        <v>2</v>
      </c>
      <c r="B79">
        <f t="shared" ca="1" si="1"/>
        <v>6</v>
      </c>
      <c r="C79">
        <f t="shared" ca="1" si="2"/>
        <v>1</v>
      </c>
      <c r="D79">
        <f t="shared" ca="1" si="3"/>
        <v>8</v>
      </c>
      <c r="E79">
        <f t="shared" ca="1" si="4"/>
        <v>0</v>
      </c>
      <c r="F79">
        <f t="shared" ca="1" si="5"/>
        <v>0</v>
      </c>
      <c r="G79">
        <f t="shared" ca="1" si="6"/>
        <v>0</v>
      </c>
      <c r="H79">
        <f t="shared" ca="1" si="7"/>
        <v>148</v>
      </c>
      <c r="I79">
        <f t="shared" ca="1" si="8"/>
        <v>6</v>
      </c>
      <c r="J79" s="394" t="s">
        <v>100</v>
      </c>
      <c r="K79" s="162" t="str">
        <f t="shared" ca="1" si="9"/>
        <v>1.8.</v>
      </c>
      <c r="L79" s="395"/>
      <c r="M79" s="395"/>
      <c r="N79" s="397" t="s">
        <v>353</v>
      </c>
      <c r="O79" s="398"/>
      <c r="P79" s="399"/>
      <c r="Q79" s="228"/>
      <c r="R79" s="231" t="s">
        <v>7</v>
      </c>
      <c r="S79" s="121">
        <f t="shared" si="10"/>
        <v>0</v>
      </c>
      <c r="T79" s="98">
        <f t="shared" ca="1" si="11"/>
        <v>0</v>
      </c>
      <c r="U79" s="13" t="str">
        <f t="shared" ca="1" si="12"/>
        <v>SEM VALOR</v>
      </c>
      <c r="V79" s="4">
        <f ca="1">IF(OR($A79=0,$A79="S",$A79&gt;CFF!$A$9),"",MAX(V$12:OFFSET(V79,-1,0))+1)</f>
        <v>9</v>
      </c>
      <c r="W79" s="9" t="b">
        <f t="shared" si="13"/>
        <v>0</v>
      </c>
      <c r="X79" s="4" t="str">
        <f t="shared" ca="1" si="14"/>
        <v>X</v>
      </c>
      <c r="Y79" s="121">
        <v>0</v>
      </c>
      <c r="Z79" s="132">
        <f ca="1">ROUND(IF(ISNUMBER(R79),R79,IF(LEFT(R79,3)="BDI",HLOOKUP(R79,DADOS!$T$37:$X$38,2,FALSE),0)),15-11*$X$5)</f>
        <v>0.27639999999999998</v>
      </c>
      <c r="AA79" s="4"/>
    </row>
    <row r="80" spans="1:27" x14ac:dyDescent="0.2">
      <c r="A80" t="str">
        <f t="shared" si="0"/>
        <v>S</v>
      </c>
      <c r="B80">
        <f t="shared" si="1"/>
        <v>0</v>
      </c>
      <c r="C80">
        <f t="shared" ca="1" si="2"/>
        <v>1</v>
      </c>
      <c r="D80">
        <f t="shared" ca="1" si="3"/>
        <v>8</v>
      </c>
      <c r="E80">
        <f t="shared" ca="1" si="4"/>
        <v>0</v>
      </c>
      <c r="F80">
        <f t="shared" ca="1" si="5"/>
        <v>0</v>
      </c>
      <c r="G80">
        <f t="shared" ca="1" si="6"/>
        <v>1</v>
      </c>
      <c r="H80">
        <f t="shared" ref="H80:H143" ca="1" si="15">IF(OR($A80="S",$A80=0),0,MATCH(0,OFFSET($B80,1,$A80,ROW($A$227)-ROW($A80)),0))</f>
        <v>0</v>
      </c>
      <c r="I80">
        <f t="shared" ref="I80:I143" ca="1" si="16">IF(OR($A80="S",$A80=0),0,MATCH(OFFSET($B80,0,$A80)+1,OFFSET($B80,1,$A80,ROW($A$227)-ROW($A80)),0))</f>
        <v>0</v>
      </c>
      <c r="J80" s="394" t="s">
        <v>103</v>
      </c>
      <c r="K80" s="162" t="str">
        <f t="shared" ca="1" si="9"/>
        <v>1.8.0.0.1.</v>
      </c>
      <c r="L80" s="395" t="s">
        <v>236</v>
      </c>
      <c r="M80" s="395" t="s">
        <v>354</v>
      </c>
      <c r="N80" s="397" t="s">
        <v>355</v>
      </c>
      <c r="O80" s="398" t="s">
        <v>260</v>
      </c>
      <c r="P80" s="399">
        <v>9.74</v>
      </c>
      <c r="Q80" s="228"/>
      <c r="R80" s="231" t="s">
        <v>7</v>
      </c>
      <c r="S80" s="121">
        <f t="shared" si="10"/>
        <v>0</v>
      </c>
      <c r="T80" s="98">
        <f t="shared" si="11"/>
        <v>0</v>
      </c>
      <c r="U80" s="13" t="str">
        <f t="shared" si="12"/>
        <v>SEM VALOR</v>
      </c>
      <c r="V80" s="4" t="str">
        <f ca="1">IF(OR($A80=0,$A80="S",$A80&gt;CFF!$A$9),"",MAX(V$12:OFFSET(V80,-1,0))+1)</f>
        <v/>
      </c>
      <c r="W80" s="9" t="str">
        <f t="shared" si="13"/>
        <v>SEE/MG-070001</v>
      </c>
      <c r="X80" s="4" t="e">
        <f t="shared" ca="1" si="14"/>
        <v>#REF!</v>
      </c>
      <c r="Y80" s="121">
        <v>591.58587199999999</v>
      </c>
      <c r="Z80" s="132">
        <f ca="1">ROUND(IF(ISNUMBER(R80),R80,IF(LEFT(R80,3)="BDI",HLOOKUP(R80,DADOS!$T$37:$X$38,2,FALSE),0)),15-11*$X$5)</f>
        <v>0.27639999999999998</v>
      </c>
      <c r="AA80" s="4"/>
    </row>
    <row r="81" spans="1:27" x14ac:dyDescent="0.2">
      <c r="A81" t="str">
        <f t="shared" si="0"/>
        <v>S</v>
      </c>
      <c r="B81">
        <f t="shared" si="1"/>
        <v>0</v>
      </c>
      <c r="C81">
        <f t="shared" ca="1" si="2"/>
        <v>1</v>
      </c>
      <c r="D81">
        <f t="shared" ca="1" si="3"/>
        <v>8</v>
      </c>
      <c r="E81">
        <f t="shared" ca="1" si="4"/>
        <v>0</v>
      </c>
      <c r="F81">
        <f t="shared" ca="1" si="5"/>
        <v>0</v>
      </c>
      <c r="G81">
        <f t="shared" ca="1" si="6"/>
        <v>2</v>
      </c>
      <c r="H81">
        <f t="shared" ca="1" si="15"/>
        <v>0</v>
      </c>
      <c r="I81">
        <f t="shared" ca="1" si="16"/>
        <v>0</v>
      </c>
      <c r="J81" s="394" t="s">
        <v>103</v>
      </c>
      <c r="K81" s="162" t="str">
        <f t="shared" ca="1" si="9"/>
        <v>1.8.0.0.2.</v>
      </c>
      <c r="L81" s="395" t="s">
        <v>236</v>
      </c>
      <c r="M81" s="395" t="s">
        <v>356</v>
      </c>
      <c r="N81" s="397" t="s">
        <v>357</v>
      </c>
      <c r="O81" s="398" t="s">
        <v>260</v>
      </c>
      <c r="P81" s="399">
        <v>2548.98</v>
      </c>
      <c r="Q81" s="228"/>
      <c r="R81" s="231" t="s">
        <v>7</v>
      </c>
      <c r="S81" s="121">
        <f t="shared" si="10"/>
        <v>0</v>
      </c>
      <c r="T81" s="98">
        <f t="shared" si="11"/>
        <v>0</v>
      </c>
      <c r="U81" s="13" t="str">
        <f t="shared" si="12"/>
        <v>SEM VALOR</v>
      </c>
      <c r="V81" s="4" t="str">
        <f ca="1">IF(OR($A81=0,$A81="S",$A81&gt;CFF!$A$9),"",MAX(V$12:OFFSET(V81,-1,0))+1)</f>
        <v/>
      </c>
      <c r="W81" s="9" t="str">
        <f t="shared" si="13"/>
        <v>SEE/MG-070002</v>
      </c>
      <c r="X81" s="4" t="e">
        <f t="shared" ca="1" si="14"/>
        <v>#REF!</v>
      </c>
      <c r="Y81" s="121">
        <v>8.9858560000000001</v>
      </c>
      <c r="Z81" s="132">
        <f ca="1">ROUND(IF(ISNUMBER(R81),R81,IF(LEFT(R81,3)="BDI",HLOOKUP(R81,DADOS!$T$37:$X$38,2,FALSE),0)),15-11*$X$5)</f>
        <v>0.27639999999999998</v>
      </c>
      <c r="AA81" s="4"/>
    </row>
    <row r="82" spans="1:27" x14ac:dyDescent="0.2">
      <c r="A82" t="str">
        <f t="shared" si="0"/>
        <v>S</v>
      </c>
      <c r="B82">
        <f t="shared" si="1"/>
        <v>0</v>
      </c>
      <c r="C82">
        <f t="shared" ca="1" si="2"/>
        <v>1</v>
      </c>
      <c r="D82">
        <f t="shared" ca="1" si="3"/>
        <v>8</v>
      </c>
      <c r="E82">
        <f t="shared" ca="1" si="4"/>
        <v>0</v>
      </c>
      <c r="F82">
        <f t="shared" ca="1" si="5"/>
        <v>0</v>
      </c>
      <c r="G82">
        <f t="shared" ca="1" si="6"/>
        <v>3</v>
      </c>
      <c r="H82">
        <f t="shared" ca="1" si="15"/>
        <v>0</v>
      </c>
      <c r="I82">
        <f t="shared" ca="1" si="16"/>
        <v>0</v>
      </c>
      <c r="J82" s="394" t="s">
        <v>103</v>
      </c>
      <c r="K82" s="162" t="str">
        <f t="shared" ca="1" si="9"/>
        <v>1.8.0.0.3.</v>
      </c>
      <c r="L82" s="395" t="s">
        <v>236</v>
      </c>
      <c r="M82" s="395" t="s">
        <v>358</v>
      </c>
      <c r="N82" s="397" t="s">
        <v>359</v>
      </c>
      <c r="O82" s="398" t="s">
        <v>260</v>
      </c>
      <c r="P82" s="399">
        <v>1969.41</v>
      </c>
      <c r="Q82" s="228"/>
      <c r="R82" s="231" t="s">
        <v>7</v>
      </c>
      <c r="S82" s="121">
        <f t="shared" si="10"/>
        <v>0</v>
      </c>
      <c r="T82" s="98">
        <f t="shared" si="11"/>
        <v>0</v>
      </c>
      <c r="U82" s="13" t="str">
        <f t="shared" si="12"/>
        <v>SEM VALOR</v>
      </c>
      <c r="V82" s="4" t="str">
        <f ca="1">IF(OR($A82=0,$A82="S",$A82&gt;CFF!$A$9),"",MAX(V$12:OFFSET(V82,-1,0))+1)</f>
        <v/>
      </c>
      <c r="W82" s="9" t="str">
        <f t="shared" si="13"/>
        <v>SEE/MG-070003</v>
      </c>
      <c r="X82" s="4" t="e">
        <f t="shared" ca="1" si="14"/>
        <v>#REF!</v>
      </c>
      <c r="Y82" s="121">
        <v>34.016060000000003</v>
      </c>
      <c r="Z82" s="132">
        <f ca="1">ROUND(IF(ISNUMBER(R82),R82,IF(LEFT(R82,3)="BDI",HLOOKUP(R82,DADOS!$T$37:$X$38,2,FALSE),0)),15-11*$X$5)</f>
        <v>0.27639999999999998</v>
      </c>
      <c r="AA82" s="4"/>
    </row>
    <row r="83" spans="1:27" x14ac:dyDescent="0.2">
      <c r="A83" t="str">
        <f t="shared" si="0"/>
        <v>S</v>
      </c>
      <c r="B83">
        <f t="shared" si="1"/>
        <v>0</v>
      </c>
      <c r="C83">
        <f t="shared" ca="1" si="2"/>
        <v>1</v>
      </c>
      <c r="D83">
        <f t="shared" ca="1" si="3"/>
        <v>8</v>
      </c>
      <c r="E83">
        <f t="shared" ca="1" si="4"/>
        <v>0</v>
      </c>
      <c r="F83">
        <f t="shared" ca="1" si="5"/>
        <v>0</v>
      </c>
      <c r="G83">
        <f t="shared" ca="1" si="6"/>
        <v>4</v>
      </c>
      <c r="H83">
        <f t="shared" ca="1" si="15"/>
        <v>0</v>
      </c>
      <c r="I83">
        <f t="shared" ca="1" si="16"/>
        <v>0</v>
      </c>
      <c r="J83" s="394" t="s">
        <v>103</v>
      </c>
      <c r="K83" s="162" t="str">
        <f t="shared" ca="1" si="9"/>
        <v>1.8.0.0.4.</v>
      </c>
      <c r="L83" s="395" t="s">
        <v>236</v>
      </c>
      <c r="M83" s="395" t="s">
        <v>360</v>
      </c>
      <c r="N83" s="397" t="s">
        <v>361</v>
      </c>
      <c r="O83" s="398" t="s">
        <v>260</v>
      </c>
      <c r="P83" s="399">
        <v>1887.3400000000001</v>
      </c>
      <c r="Q83" s="228"/>
      <c r="R83" s="231" t="s">
        <v>7</v>
      </c>
      <c r="S83" s="121">
        <f t="shared" si="10"/>
        <v>0</v>
      </c>
      <c r="T83" s="98">
        <f t="shared" si="11"/>
        <v>0</v>
      </c>
      <c r="U83" s="13" t="str">
        <f t="shared" si="12"/>
        <v>SEM VALOR</v>
      </c>
      <c r="V83" s="4" t="str">
        <f ca="1">IF(OR($A83=0,$A83="S",$A83&gt;CFF!$A$9),"",MAX(V$12:OFFSET(V83,-1,0))+1)</f>
        <v/>
      </c>
      <c r="W83" s="9" t="str">
        <f t="shared" si="13"/>
        <v>SEE/MG-070004</v>
      </c>
      <c r="X83" s="4" t="e">
        <f t="shared" ca="1" si="14"/>
        <v>#REF!</v>
      </c>
      <c r="Y83" s="121">
        <v>33.301276000000001</v>
      </c>
      <c r="Z83" s="132">
        <f ca="1">ROUND(IF(ISNUMBER(R83),R83,IF(LEFT(R83,3)="BDI",HLOOKUP(R83,DADOS!$T$37:$X$38,2,FALSE),0)),15-11*$X$5)</f>
        <v>0.27639999999999998</v>
      </c>
      <c r="AA83" s="4"/>
    </row>
    <row r="84" spans="1:27" ht="25.5" x14ac:dyDescent="0.2">
      <c r="A84" t="str">
        <f t="shared" si="0"/>
        <v>S</v>
      </c>
      <c r="B84">
        <f t="shared" si="1"/>
        <v>0</v>
      </c>
      <c r="C84">
        <f t="shared" ca="1" si="2"/>
        <v>1</v>
      </c>
      <c r="D84">
        <f t="shared" ca="1" si="3"/>
        <v>8</v>
      </c>
      <c r="E84">
        <f t="shared" ca="1" si="4"/>
        <v>0</v>
      </c>
      <c r="F84">
        <f t="shared" ca="1" si="5"/>
        <v>0</v>
      </c>
      <c r="G84">
        <f t="shared" ca="1" si="6"/>
        <v>5</v>
      </c>
      <c r="H84">
        <f t="shared" ca="1" si="15"/>
        <v>0</v>
      </c>
      <c r="I84">
        <f t="shared" ca="1" si="16"/>
        <v>0</v>
      </c>
      <c r="J84" s="394" t="s">
        <v>103</v>
      </c>
      <c r="K84" s="162" t="str">
        <f t="shared" ca="1" si="9"/>
        <v>1.8.0.0.5.</v>
      </c>
      <c r="L84" s="395" t="s">
        <v>236</v>
      </c>
      <c r="M84" s="395" t="s">
        <v>362</v>
      </c>
      <c r="N84" s="397" t="s">
        <v>363</v>
      </c>
      <c r="O84" s="398" t="s">
        <v>260</v>
      </c>
      <c r="P84" s="399">
        <v>661.65</v>
      </c>
      <c r="Q84" s="228"/>
      <c r="R84" s="231" t="s">
        <v>7</v>
      </c>
      <c r="S84" s="121">
        <f t="shared" si="10"/>
        <v>0</v>
      </c>
      <c r="T84" s="98">
        <f t="shared" si="11"/>
        <v>0</v>
      </c>
      <c r="U84" s="13" t="str">
        <f t="shared" si="12"/>
        <v>SEM VALOR</v>
      </c>
      <c r="V84" s="4" t="str">
        <f ca="1">IF(OR($A84=0,$A84="S",$A84&gt;CFF!$A$9),"",MAX(V$12:OFFSET(V84,-1,0))+1)</f>
        <v/>
      </c>
      <c r="W84" s="9" t="str">
        <f t="shared" si="13"/>
        <v>SEE/MG-070005</v>
      </c>
      <c r="X84" s="4" t="e">
        <f t="shared" ca="1" si="14"/>
        <v>#REF!</v>
      </c>
      <c r="Y84" s="121">
        <v>76.150024000000002</v>
      </c>
      <c r="Z84" s="132">
        <f ca="1">ROUND(IF(ISNUMBER(R84),R84,IF(LEFT(R84,3)="BDI",HLOOKUP(R84,DADOS!$T$37:$X$38,2,FALSE),0)),15-11*$X$5)</f>
        <v>0.27639999999999998</v>
      </c>
      <c r="AA84" s="4"/>
    </row>
    <row r="85" spans="1:27" x14ac:dyDescent="0.2">
      <c r="A85">
        <f t="shared" si="0"/>
        <v>2</v>
      </c>
      <c r="B85">
        <f t="shared" ca="1" si="1"/>
        <v>11</v>
      </c>
      <c r="C85">
        <f t="shared" ca="1" si="2"/>
        <v>1</v>
      </c>
      <c r="D85">
        <f t="shared" ca="1" si="3"/>
        <v>9</v>
      </c>
      <c r="E85">
        <f t="shared" ca="1" si="4"/>
        <v>0</v>
      </c>
      <c r="F85">
        <f t="shared" ca="1" si="5"/>
        <v>0</v>
      </c>
      <c r="G85">
        <f t="shared" ca="1" si="6"/>
        <v>0</v>
      </c>
      <c r="H85">
        <f t="shared" ca="1" si="15"/>
        <v>142</v>
      </c>
      <c r="I85">
        <f t="shared" ca="1" si="16"/>
        <v>11</v>
      </c>
      <c r="J85" s="394" t="s">
        <v>100</v>
      </c>
      <c r="K85" s="162" t="str">
        <f t="shared" ca="1" si="9"/>
        <v>1.9.</v>
      </c>
      <c r="L85" s="395"/>
      <c r="M85" s="395"/>
      <c r="N85" s="397" t="s">
        <v>382</v>
      </c>
      <c r="O85" s="398"/>
      <c r="P85" s="399"/>
      <c r="Q85" s="228"/>
      <c r="R85" s="231" t="s">
        <v>7</v>
      </c>
      <c r="S85" s="121">
        <f t="shared" si="10"/>
        <v>0</v>
      </c>
      <c r="T85" s="98">
        <f t="shared" ca="1" si="11"/>
        <v>0</v>
      </c>
      <c r="U85" s="13" t="str">
        <f t="shared" ca="1" si="12"/>
        <v>SEM VALOR</v>
      </c>
      <c r="V85" s="4">
        <f ca="1">IF(OR($A85=0,$A85="S",$A85&gt;CFF!$A$9),"",MAX(V$12:OFFSET(V85,-1,0))+1)</f>
        <v>10</v>
      </c>
      <c r="W85" s="9" t="b">
        <f t="shared" si="13"/>
        <v>0</v>
      </c>
      <c r="X85" s="4" t="str">
        <f t="shared" ca="1" si="14"/>
        <v>X</v>
      </c>
      <c r="Y85" s="121">
        <v>0</v>
      </c>
      <c r="Z85" s="132">
        <f ca="1">ROUND(IF(ISNUMBER(R85),R85,IF(LEFT(R85,3)="BDI",HLOOKUP(R85,DADOS!$T$37:$X$38,2,FALSE),0)),15-11*$X$5)</f>
        <v>0.27639999999999998</v>
      </c>
      <c r="AA85" s="4"/>
    </row>
    <row r="86" spans="1:27" x14ac:dyDescent="0.2">
      <c r="A86">
        <f>CHOOSE(1+LOG(1+2*(J86="Meta")+4*(J86="Nível 2")+8*(J86="Nível 3")+16*(J86="Nível 4")+32*(J86="Serviço"),2),0,1,2,3,4,"S")</f>
        <v>3</v>
      </c>
      <c r="B86">
        <f ca="1">IF(OR(A86="S",A86=0),0,IF(ISERROR(I86),H86,SMALL(H86:I86,1)))</f>
        <v>6</v>
      </c>
      <c r="C86">
        <f ca="1">IF($A86=1,OFFSET(C86,-1,0)+1,OFFSET(C86,-1,0))</f>
        <v>1</v>
      </c>
      <c r="D86">
        <f ca="1">IF($A86=1,0,IF($A86=2,OFFSET(D86,-1,0)+1,OFFSET(D86,-1,0)))</f>
        <v>9</v>
      </c>
      <c r="E86">
        <f ca="1">IF(AND($A86&lt;=2,$A86&lt;&gt;0),0,IF($A86=3,OFFSET(E86,-1,0)+1,OFFSET(E86,-1,0)))</f>
        <v>1</v>
      </c>
      <c r="F86">
        <f ca="1">IF(AND($A86&lt;=3,$A86&lt;&gt;0),0,IF($A86=4,OFFSET(F86,-1,0)+1,OFFSET(F86,-1,0)))</f>
        <v>0</v>
      </c>
      <c r="G86">
        <f ca="1">IF(AND($A86&lt;=4,$A86&lt;&gt;0),0,IF($A86="S",OFFSET(G86,-1,0)+1,OFFSET(G86,-1,0)))</f>
        <v>0</v>
      </c>
      <c r="H86">
        <f t="shared" ca="1" si="15"/>
        <v>10</v>
      </c>
      <c r="I86">
        <f t="shared" ca="1" si="16"/>
        <v>6</v>
      </c>
      <c r="J86" s="394" t="s">
        <v>101</v>
      </c>
      <c r="K86" s="162" t="str">
        <f ca="1">IF($A86=0,"-",CONCATENATE(C86&amp;".",IF(AND($A$5&gt;=2,$A86&gt;=2),D86&amp;".",""),IF(AND($A$5&gt;=3,$A86&gt;=3),E86&amp;".",""),IF(AND($A$5&gt;=4,$A86&gt;=4),F86&amp;".",""),IF($A86="S",G86&amp;".","")))</f>
        <v>1.9.1.</v>
      </c>
      <c r="L86" s="395"/>
      <c r="M86" s="395"/>
      <c r="N86" s="397" t="s">
        <v>364</v>
      </c>
      <c r="O86" s="398" t="s">
        <v>106</v>
      </c>
      <c r="P86" s="399"/>
      <c r="Q86" s="228"/>
      <c r="R86" s="231" t="s">
        <v>7</v>
      </c>
      <c r="S86" s="121">
        <f>IF($A86="S",IF($Q$10="Preço Unitário (R$)",PO.CustoUnitario,ROUND(PO.CustoUnitario*(1+$Z86),15-13*$X$6)),0)</f>
        <v>0</v>
      </c>
      <c r="T86" s="98">
        <f ca="1">IF($A86="S",VTOTAL1,IF($A86=0,0,ROUND(SomaAgrup,15-13*$X$7)))</f>
        <v>0</v>
      </c>
      <c r="U86" s="13" t="str">
        <f ca="1">IF($J86="","",IF($N86="","DESCRIÇÃO",IF(AND($J86="Serviço",$O86=""),"UNIDADE",IF($T86&lt;=0,"SEM VALOR",IF(AND($Y86&lt;&gt;"",$Q86&gt;$Y86),"ACIMA REF.","")))))</f>
        <v>SEM VALOR</v>
      </c>
      <c r="V86" s="4" t="str">
        <f ca="1">IF(OR($A86=0,$A86="S",$A86&gt;CFF!$A$9),"",MAX(V$12:OFFSET(V86,-1,0))+1)</f>
        <v/>
      </c>
      <c r="W86" s="9" t="b">
        <f>IF(AND($J86="Serviço",$M86&lt;&gt;""),IF($L86="",$M86,CONCATENATE($L86,"-",$M86)))</f>
        <v>0</v>
      </c>
      <c r="X86" s="4" t="str">
        <f ca="1">IF(AND(Fonte&lt;&gt;"",Código&lt;&gt;""),MATCH(Fonte&amp;" "&amp;IF(Fonte="sinapi",SUBSTITUTE(SUBSTITUTE(Código,"/00","/"),"/0","/"),Código),INDIRECT("'[Referência "&amp;_xlnm.Database&amp;".xls]Banco'!$a:$a"),0),"X")</f>
        <v>X</v>
      </c>
      <c r="Y86" s="121">
        <v>0</v>
      </c>
      <c r="Z86" s="132">
        <f ca="1">ROUND(IF(ISNUMBER(R86),R86,IF(LEFT(R86,3)="BDI",HLOOKUP(R86,DADOS!$T$37:$X$38,2,FALSE),0)),15-11*$X$5)</f>
        <v>0.27639999999999998</v>
      </c>
      <c r="AA86" s="4"/>
    </row>
    <row r="87" spans="1:27" x14ac:dyDescent="0.2">
      <c r="A87" t="str">
        <f t="shared" si="0"/>
        <v>S</v>
      </c>
      <c r="B87">
        <f t="shared" si="1"/>
        <v>0</v>
      </c>
      <c r="C87">
        <f t="shared" ca="1" si="2"/>
        <v>1</v>
      </c>
      <c r="D87">
        <f t="shared" ca="1" si="3"/>
        <v>9</v>
      </c>
      <c r="E87">
        <f t="shared" ca="1" si="4"/>
        <v>1</v>
      </c>
      <c r="F87">
        <f t="shared" ca="1" si="5"/>
        <v>0</v>
      </c>
      <c r="G87">
        <f t="shared" ca="1" si="6"/>
        <v>1</v>
      </c>
      <c r="H87">
        <f t="shared" ca="1" si="15"/>
        <v>0</v>
      </c>
      <c r="I87">
        <f t="shared" ca="1" si="16"/>
        <v>0</v>
      </c>
      <c r="J87" s="394" t="s">
        <v>103</v>
      </c>
      <c r="K87" s="162" t="str">
        <f t="shared" ca="1" si="9"/>
        <v>1.9.1.0.1.</v>
      </c>
      <c r="L87" s="395" t="s">
        <v>236</v>
      </c>
      <c r="M87" s="395" t="s">
        <v>365</v>
      </c>
      <c r="N87" s="397" t="s">
        <v>366</v>
      </c>
      <c r="O87" s="398" t="s">
        <v>260</v>
      </c>
      <c r="P87" s="399">
        <v>814.48</v>
      </c>
      <c r="Q87" s="228"/>
      <c r="R87" s="231" t="s">
        <v>7</v>
      </c>
      <c r="S87" s="121">
        <f t="shared" si="10"/>
        <v>0</v>
      </c>
      <c r="T87" s="98">
        <f t="shared" si="11"/>
        <v>0</v>
      </c>
      <c r="U87" s="13" t="str">
        <f t="shared" si="12"/>
        <v>SEM VALOR</v>
      </c>
      <c r="V87" s="4" t="str">
        <f ca="1">IF(OR($A87=0,$A87="S",$A87&gt;CFF!$A$9),"",MAX(V$12:OFFSET(V87,-1,0))+1)</f>
        <v/>
      </c>
      <c r="W87" s="9" t="str">
        <f t="shared" si="13"/>
        <v>SEE/MG-080001</v>
      </c>
      <c r="X87" s="4" t="e">
        <f t="shared" ca="1" si="14"/>
        <v>#REF!</v>
      </c>
      <c r="Y87" s="121">
        <v>57.412472000000001</v>
      </c>
      <c r="Z87" s="132">
        <f ca="1">ROUND(IF(ISNUMBER(R87),R87,IF(LEFT(R87,3)="BDI",HLOOKUP(R87,DADOS!$T$37:$X$38,2,FALSE),0)),15-11*$X$5)</f>
        <v>0.27639999999999998</v>
      </c>
      <c r="AA87" s="4"/>
    </row>
    <row r="88" spans="1:27" x14ac:dyDescent="0.2">
      <c r="A88" t="str">
        <f t="shared" si="0"/>
        <v>S</v>
      </c>
      <c r="B88">
        <f t="shared" si="1"/>
        <v>0</v>
      </c>
      <c r="C88">
        <f t="shared" ca="1" si="2"/>
        <v>1</v>
      </c>
      <c r="D88">
        <f t="shared" ca="1" si="3"/>
        <v>9</v>
      </c>
      <c r="E88">
        <f t="shared" ca="1" si="4"/>
        <v>1</v>
      </c>
      <c r="F88">
        <f t="shared" ca="1" si="5"/>
        <v>0</v>
      </c>
      <c r="G88">
        <f t="shared" ca="1" si="6"/>
        <v>2</v>
      </c>
      <c r="H88">
        <f t="shared" ca="1" si="15"/>
        <v>0</v>
      </c>
      <c r="I88">
        <f t="shared" ca="1" si="16"/>
        <v>0</v>
      </c>
      <c r="J88" s="394" t="s">
        <v>103</v>
      </c>
      <c r="K88" s="162" t="str">
        <f t="shared" ca="1" si="9"/>
        <v>1.9.1.0.2.</v>
      </c>
      <c r="L88" s="395" t="s">
        <v>236</v>
      </c>
      <c r="M88" s="395" t="s">
        <v>367</v>
      </c>
      <c r="N88" s="397" t="s">
        <v>368</v>
      </c>
      <c r="O88" s="398" t="s">
        <v>260</v>
      </c>
      <c r="P88" s="399">
        <v>814.48</v>
      </c>
      <c r="Q88" s="228"/>
      <c r="R88" s="231" t="s">
        <v>7</v>
      </c>
      <c r="S88" s="121">
        <f t="shared" si="10"/>
        <v>0</v>
      </c>
      <c r="T88" s="98">
        <f t="shared" si="11"/>
        <v>0</v>
      </c>
      <c r="U88" s="13" t="str">
        <f t="shared" si="12"/>
        <v>SEM VALOR</v>
      </c>
      <c r="V88" s="4" t="str">
        <f ca="1">IF(OR($A88=0,$A88="S",$A88&gt;CFF!$A$9),"",MAX(V$12:OFFSET(V88,-1,0))+1)</f>
        <v/>
      </c>
      <c r="W88" s="9" t="str">
        <f t="shared" si="13"/>
        <v>SEE/MG-080002</v>
      </c>
      <c r="X88" s="4" t="e">
        <f t="shared" ca="1" si="14"/>
        <v>#REF!</v>
      </c>
      <c r="Y88" s="121">
        <v>53.238644000000001</v>
      </c>
      <c r="Z88" s="132">
        <f ca="1">ROUND(IF(ISNUMBER(R88),R88,IF(LEFT(R88,3)="BDI",HLOOKUP(R88,DADOS!$T$37:$X$38,2,FALSE),0)),15-11*$X$5)</f>
        <v>0.27639999999999998</v>
      </c>
      <c r="AA88" s="4"/>
    </row>
    <row r="89" spans="1:27" ht="25.5" x14ac:dyDescent="0.2">
      <c r="A89" t="str">
        <f t="shared" si="0"/>
        <v>S</v>
      </c>
      <c r="B89">
        <f t="shared" si="1"/>
        <v>0</v>
      </c>
      <c r="C89">
        <f t="shared" ca="1" si="2"/>
        <v>1</v>
      </c>
      <c r="D89">
        <f t="shared" ca="1" si="3"/>
        <v>9</v>
      </c>
      <c r="E89">
        <f t="shared" ca="1" si="4"/>
        <v>1</v>
      </c>
      <c r="F89">
        <f t="shared" ca="1" si="5"/>
        <v>0</v>
      </c>
      <c r="G89">
        <f t="shared" ca="1" si="6"/>
        <v>3</v>
      </c>
      <c r="H89">
        <f t="shared" ca="1" si="15"/>
        <v>0</v>
      </c>
      <c r="I89">
        <f t="shared" ca="1" si="16"/>
        <v>0</v>
      </c>
      <c r="J89" s="394" t="s">
        <v>103</v>
      </c>
      <c r="K89" s="162" t="str">
        <f t="shared" ca="1" si="9"/>
        <v>1.9.1.0.3.</v>
      </c>
      <c r="L89" s="395" t="s">
        <v>236</v>
      </c>
      <c r="M89" s="395" t="s">
        <v>369</v>
      </c>
      <c r="N89" s="397" t="s">
        <v>370</v>
      </c>
      <c r="O89" s="398" t="s">
        <v>260</v>
      </c>
      <c r="P89" s="399">
        <v>814.48</v>
      </c>
      <c r="Q89" s="228"/>
      <c r="R89" s="231" t="s">
        <v>7</v>
      </c>
      <c r="S89" s="121">
        <f t="shared" si="10"/>
        <v>0</v>
      </c>
      <c r="T89" s="98">
        <f t="shared" si="11"/>
        <v>0</v>
      </c>
      <c r="U89" s="13" t="str">
        <f t="shared" si="12"/>
        <v>SEM VALOR</v>
      </c>
      <c r="V89" s="4" t="str">
        <f ca="1">IF(OR($A89=0,$A89="S",$A89&gt;CFF!$A$9),"",MAX(V$12:OFFSET(V89,-1,0))+1)</f>
        <v/>
      </c>
      <c r="W89" s="9" t="str">
        <f t="shared" si="13"/>
        <v>SEE/MG-080003</v>
      </c>
      <c r="X89" s="4" t="e">
        <f t="shared" ca="1" si="14"/>
        <v>#REF!</v>
      </c>
      <c r="Y89" s="121">
        <v>94.938631999999998</v>
      </c>
      <c r="Z89" s="132">
        <f ca="1">ROUND(IF(ISNUMBER(R89),R89,IF(LEFT(R89,3)="BDI",HLOOKUP(R89,DADOS!$T$37:$X$38,2,FALSE),0)),15-11*$X$5)</f>
        <v>0.27639999999999998</v>
      </c>
      <c r="AA89" s="4"/>
    </row>
    <row r="90" spans="1:27" x14ac:dyDescent="0.2">
      <c r="A90" t="str">
        <f t="shared" si="0"/>
        <v>S</v>
      </c>
      <c r="B90">
        <f t="shared" si="1"/>
        <v>0</v>
      </c>
      <c r="C90">
        <f t="shared" ca="1" si="2"/>
        <v>1</v>
      </c>
      <c r="D90">
        <f t="shared" ca="1" si="3"/>
        <v>9</v>
      </c>
      <c r="E90">
        <f t="shared" ca="1" si="4"/>
        <v>1</v>
      </c>
      <c r="F90">
        <f t="shared" ca="1" si="5"/>
        <v>0</v>
      </c>
      <c r="G90">
        <f t="shared" ca="1" si="6"/>
        <v>4</v>
      </c>
      <c r="H90">
        <f t="shared" ca="1" si="15"/>
        <v>0</v>
      </c>
      <c r="I90">
        <f t="shared" ca="1" si="16"/>
        <v>0</v>
      </c>
      <c r="J90" s="394" t="s">
        <v>103</v>
      </c>
      <c r="K90" s="162" t="str">
        <f t="shared" ca="1" si="9"/>
        <v>1.9.1.0.4.</v>
      </c>
      <c r="L90" s="395" t="s">
        <v>236</v>
      </c>
      <c r="M90" s="395" t="s">
        <v>371</v>
      </c>
      <c r="N90" s="397" t="s">
        <v>372</v>
      </c>
      <c r="O90" s="398" t="s">
        <v>260</v>
      </c>
      <c r="P90" s="399">
        <v>46.35</v>
      </c>
      <c r="Q90" s="228"/>
      <c r="R90" s="231" t="s">
        <v>7</v>
      </c>
      <c r="S90" s="121">
        <f t="shared" si="10"/>
        <v>0</v>
      </c>
      <c r="T90" s="98">
        <f t="shared" si="11"/>
        <v>0</v>
      </c>
      <c r="U90" s="13" t="str">
        <f t="shared" si="12"/>
        <v>SEM VALOR</v>
      </c>
      <c r="V90" s="4" t="str">
        <f ca="1">IF(OR($A90=0,$A90="S",$A90&gt;CFF!$A$9),"",MAX(V$12:OFFSET(V90,-1,0))+1)</f>
        <v/>
      </c>
      <c r="W90" s="9" t="str">
        <f t="shared" si="13"/>
        <v>SEE/MG-080004</v>
      </c>
      <c r="X90" s="4" t="e">
        <f t="shared" ca="1" si="14"/>
        <v>#REF!</v>
      </c>
      <c r="Y90" s="121">
        <v>161.94963200000001</v>
      </c>
      <c r="Z90" s="132">
        <f ca="1">ROUND(IF(ISNUMBER(R90),R90,IF(LEFT(R90,3)="BDI",HLOOKUP(R90,DADOS!$T$37:$X$38,2,FALSE),0)),15-11*$X$5)</f>
        <v>0.27639999999999998</v>
      </c>
      <c r="AA90" s="4"/>
    </row>
    <row r="91" spans="1:27" x14ac:dyDescent="0.2">
      <c r="A91" t="str">
        <f t="shared" si="0"/>
        <v>S</v>
      </c>
      <c r="B91">
        <f t="shared" si="1"/>
        <v>0</v>
      </c>
      <c r="C91">
        <f t="shared" ca="1" si="2"/>
        <v>1</v>
      </c>
      <c r="D91">
        <f t="shared" ca="1" si="3"/>
        <v>9</v>
      </c>
      <c r="E91">
        <f t="shared" ca="1" si="4"/>
        <v>1</v>
      </c>
      <c r="F91">
        <f t="shared" ca="1" si="5"/>
        <v>0</v>
      </c>
      <c r="G91">
        <f t="shared" ca="1" si="6"/>
        <v>5</v>
      </c>
      <c r="H91">
        <f t="shared" ca="1" si="15"/>
        <v>0</v>
      </c>
      <c r="I91">
        <f t="shared" ca="1" si="16"/>
        <v>0</v>
      </c>
      <c r="J91" s="394" t="s">
        <v>103</v>
      </c>
      <c r="K91" s="162" t="str">
        <f t="shared" ca="1" si="9"/>
        <v>1.9.1.0.5.</v>
      </c>
      <c r="L91" s="395" t="s">
        <v>236</v>
      </c>
      <c r="M91" s="395" t="s">
        <v>373</v>
      </c>
      <c r="N91" s="397" t="s">
        <v>374</v>
      </c>
      <c r="O91" s="398" t="s">
        <v>260</v>
      </c>
      <c r="P91" s="399">
        <v>2.77</v>
      </c>
      <c r="Q91" s="228"/>
      <c r="R91" s="231" t="s">
        <v>7</v>
      </c>
      <c r="S91" s="121">
        <f t="shared" si="10"/>
        <v>0</v>
      </c>
      <c r="T91" s="98">
        <f t="shared" si="11"/>
        <v>0</v>
      </c>
      <c r="U91" s="13" t="str">
        <f t="shared" si="12"/>
        <v>SEM VALOR</v>
      </c>
      <c r="V91" s="4" t="str">
        <f ca="1">IF(OR($A91=0,$A91="S",$A91&gt;CFF!$A$9),"",MAX(V$12:OFFSET(V91,-1,0))+1)</f>
        <v/>
      </c>
      <c r="W91" s="9" t="str">
        <f t="shared" si="13"/>
        <v>SEE/MG-080005</v>
      </c>
      <c r="X91" s="4" t="e">
        <f t="shared" ca="1" si="14"/>
        <v>#REF!</v>
      </c>
      <c r="Y91" s="121">
        <v>269.93307199999998</v>
      </c>
      <c r="Z91" s="132">
        <f ca="1">ROUND(IF(ISNUMBER(R91),R91,IF(LEFT(R91,3)="BDI",HLOOKUP(R91,DADOS!$T$37:$X$38,2,FALSE),0)),15-11*$X$5)</f>
        <v>0.27639999999999998</v>
      </c>
      <c r="AA91" s="4"/>
    </row>
    <row r="92" spans="1:27" x14ac:dyDescent="0.2">
      <c r="A92">
        <f t="shared" si="0"/>
        <v>3</v>
      </c>
      <c r="B92">
        <f t="shared" ca="1" si="1"/>
        <v>4</v>
      </c>
      <c r="C92">
        <f t="shared" ca="1" si="2"/>
        <v>1</v>
      </c>
      <c r="D92">
        <f t="shared" ca="1" si="3"/>
        <v>9</v>
      </c>
      <c r="E92">
        <f t="shared" ca="1" si="4"/>
        <v>2</v>
      </c>
      <c r="F92">
        <f t="shared" ca="1" si="5"/>
        <v>0</v>
      </c>
      <c r="G92">
        <f t="shared" ca="1" si="6"/>
        <v>0</v>
      </c>
      <c r="H92">
        <f t="shared" ca="1" si="15"/>
        <v>4</v>
      </c>
      <c r="I92">
        <f t="shared" ca="1" si="16"/>
        <v>71</v>
      </c>
      <c r="J92" s="394" t="s">
        <v>101</v>
      </c>
      <c r="K92" s="162" t="str">
        <f t="shared" ca="1" si="9"/>
        <v>1.9.2.</v>
      </c>
      <c r="L92" s="395"/>
      <c r="M92" s="395"/>
      <c r="N92" s="397" t="s">
        <v>375</v>
      </c>
      <c r="O92" s="398"/>
      <c r="P92" s="399"/>
      <c r="Q92" s="228"/>
      <c r="R92" s="231" t="s">
        <v>7</v>
      </c>
      <c r="S92" s="121">
        <f t="shared" si="10"/>
        <v>0</v>
      </c>
      <c r="T92" s="98">
        <f t="shared" ca="1" si="11"/>
        <v>0</v>
      </c>
      <c r="U92" s="13" t="str">
        <f t="shared" ca="1" si="12"/>
        <v>SEM VALOR</v>
      </c>
      <c r="V92" s="4" t="str">
        <f ca="1">IF(OR($A92=0,$A92="S",$A92&gt;CFF!$A$9),"",MAX(V$12:OFFSET(V92,-1,0))+1)</f>
        <v/>
      </c>
      <c r="W92" s="9" t="b">
        <f t="shared" si="13"/>
        <v>0</v>
      </c>
      <c r="X92" s="4" t="str">
        <f t="shared" ca="1" si="14"/>
        <v>X</v>
      </c>
      <c r="Y92" s="121">
        <v>0</v>
      </c>
      <c r="Z92" s="132">
        <f ca="1">ROUND(IF(ISNUMBER(R92),R92,IF(LEFT(R92,3)="BDI",HLOOKUP(R92,DADOS!$T$37:$X$38,2,FALSE),0)),15-11*$X$5)</f>
        <v>0.27639999999999998</v>
      </c>
      <c r="AA92" s="4"/>
    </row>
    <row r="93" spans="1:27" ht="25.5" x14ac:dyDescent="0.2">
      <c r="A93" t="str">
        <f t="shared" si="0"/>
        <v>S</v>
      </c>
      <c r="B93">
        <f t="shared" si="1"/>
        <v>0</v>
      </c>
      <c r="C93">
        <f t="shared" ca="1" si="2"/>
        <v>1</v>
      </c>
      <c r="D93">
        <f t="shared" ca="1" si="3"/>
        <v>9</v>
      </c>
      <c r="E93">
        <f t="shared" ca="1" si="4"/>
        <v>2</v>
      </c>
      <c r="F93">
        <f t="shared" ca="1" si="5"/>
        <v>0</v>
      </c>
      <c r="G93">
        <f t="shared" ca="1" si="6"/>
        <v>1</v>
      </c>
      <c r="H93">
        <f t="shared" ca="1" si="15"/>
        <v>0</v>
      </c>
      <c r="I93">
        <f t="shared" ca="1" si="16"/>
        <v>0</v>
      </c>
      <c r="J93" s="394" t="s">
        <v>103</v>
      </c>
      <c r="K93" s="162" t="str">
        <f t="shared" ca="1" si="9"/>
        <v>1.9.2.0.1.</v>
      </c>
      <c r="L93" s="395" t="s">
        <v>236</v>
      </c>
      <c r="M93" s="395" t="s">
        <v>376</v>
      </c>
      <c r="N93" s="397" t="s">
        <v>377</v>
      </c>
      <c r="O93" s="398" t="s">
        <v>260</v>
      </c>
      <c r="P93" s="399">
        <v>250.81</v>
      </c>
      <c r="Q93" s="228"/>
      <c r="R93" s="231" t="s">
        <v>7</v>
      </c>
      <c r="S93" s="121">
        <f t="shared" si="10"/>
        <v>0</v>
      </c>
      <c r="T93" s="98">
        <f t="shared" si="11"/>
        <v>0</v>
      </c>
      <c r="U93" s="13" t="str">
        <f t="shared" si="12"/>
        <v>SEM VALOR</v>
      </c>
      <c r="V93" s="4" t="str">
        <f ca="1">IF(OR($A93=0,$A93="S",$A93&gt;CFF!$A$9),"",MAX(V$12:OFFSET(V93,-1,0))+1)</f>
        <v/>
      </c>
      <c r="W93" s="9" t="str">
        <f t="shared" si="13"/>
        <v>SEE/MG-080006</v>
      </c>
      <c r="X93" s="4" t="e">
        <f t="shared" ca="1" si="14"/>
        <v>#REF!</v>
      </c>
      <c r="Y93" s="121">
        <v>70.457279999999997</v>
      </c>
      <c r="Z93" s="132">
        <f ca="1">ROUND(IF(ISNUMBER(R93),R93,IF(LEFT(R93,3)="BDI",HLOOKUP(R93,DADOS!$T$37:$X$38,2,FALSE),0)),15-11*$X$5)</f>
        <v>0.27639999999999998</v>
      </c>
      <c r="AA93" s="4"/>
    </row>
    <row r="94" spans="1:27" x14ac:dyDescent="0.2">
      <c r="A94" t="str">
        <f t="shared" si="0"/>
        <v>S</v>
      </c>
      <c r="B94">
        <f t="shared" si="1"/>
        <v>0</v>
      </c>
      <c r="C94">
        <f t="shared" ca="1" si="2"/>
        <v>1</v>
      </c>
      <c r="D94">
        <f t="shared" ca="1" si="3"/>
        <v>9</v>
      </c>
      <c r="E94">
        <f t="shared" ca="1" si="4"/>
        <v>2</v>
      </c>
      <c r="F94">
        <f t="shared" ca="1" si="5"/>
        <v>0</v>
      </c>
      <c r="G94">
        <f t="shared" ca="1" si="6"/>
        <v>2</v>
      </c>
      <c r="H94">
        <f t="shared" ca="1" si="15"/>
        <v>0</v>
      </c>
      <c r="I94">
        <f t="shared" ca="1" si="16"/>
        <v>0</v>
      </c>
      <c r="J94" s="394" t="s">
        <v>103</v>
      </c>
      <c r="K94" s="162" t="str">
        <f t="shared" ca="1" si="9"/>
        <v>1.9.2.0.2.</v>
      </c>
      <c r="L94" s="395" t="s">
        <v>236</v>
      </c>
      <c r="M94" s="395" t="s">
        <v>378</v>
      </c>
      <c r="N94" s="397" t="s">
        <v>379</v>
      </c>
      <c r="O94" s="398" t="s">
        <v>275</v>
      </c>
      <c r="P94" s="399">
        <v>27.3</v>
      </c>
      <c r="Q94" s="228"/>
      <c r="R94" s="231" t="s">
        <v>7</v>
      </c>
      <c r="S94" s="121">
        <f t="shared" si="10"/>
        <v>0</v>
      </c>
      <c r="T94" s="98">
        <f t="shared" si="11"/>
        <v>0</v>
      </c>
      <c r="U94" s="13" t="str">
        <f t="shared" si="12"/>
        <v>SEM VALOR</v>
      </c>
      <c r="V94" s="4" t="str">
        <f ca="1">IF(OR($A94=0,$A94="S",$A94&gt;CFF!$A$9),"",MAX(V$12:OFFSET(V94,-1,0))+1)</f>
        <v/>
      </c>
      <c r="W94" s="9" t="str">
        <f t="shared" si="13"/>
        <v>SEE/MG-080007</v>
      </c>
      <c r="X94" s="4" t="e">
        <f t="shared" ca="1" si="14"/>
        <v>#REF!</v>
      </c>
      <c r="Y94" s="121">
        <v>56.761507999999999</v>
      </c>
      <c r="Z94" s="132">
        <f ca="1">ROUND(IF(ISNUMBER(R94),R94,IF(LEFT(R94,3)="BDI",HLOOKUP(R94,DADOS!$T$37:$X$38,2,FALSE),0)),15-11*$X$5)</f>
        <v>0.27639999999999998</v>
      </c>
      <c r="AA94" s="4"/>
    </row>
    <row r="95" spans="1:27" x14ac:dyDescent="0.2">
      <c r="A95" t="str">
        <f t="shared" si="0"/>
        <v>S</v>
      </c>
      <c r="B95">
        <f t="shared" si="1"/>
        <v>0</v>
      </c>
      <c r="C95">
        <f t="shared" ca="1" si="2"/>
        <v>1</v>
      </c>
      <c r="D95">
        <f t="shared" ca="1" si="3"/>
        <v>9</v>
      </c>
      <c r="E95">
        <f t="shared" ca="1" si="4"/>
        <v>2</v>
      </c>
      <c r="F95">
        <f t="shared" ca="1" si="5"/>
        <v>0</v>
      </c>
      <c r="G95">
        <f t="shared" ca="1" si="6"/>
        <v>3</v>
      </c>
      <c r="H95">
        <f t="shared" ca="1" si="15"/>
        <v>0</v>
      </c>
      <c r="I95">
        <f t="shared" ca="1" si="16"/>
        <v>0</v>
      </c>
      <c r="J95" s="394" t="s">
        <v>103</v>
      </c>
      <c r="K95" s="162" t="str">
        <f t="shared" ca="1" si="9"/>
        <v>1.9.2.0.3.</v>
      </c>
      <c r="L95" s="395" t="s">
        <v>236</v>
      </c>
      <c r="M95" s="395" t="s">
        <v>380</v>
      </c>
      <c r="N95" s="397" t="s">
        <v>381</v>
      </c>
      <c r="O95" s="398" t="s">
        <v>270</v>
      </c>
      <c r="P95" s="399">
        <v>11.28</v>
      </c>
      <c r="Q95" s="228"/>
      <c r="R95" s="231" t="s">
        <v>7</v>
      </c>
      <c r="S95" s="121">
        <f t="shared" si="10"/>
        <v>0</v>
      </c>
      <c r="T95" s="98">
        <f t="shared" si="11"/>
        <v>0</v>
      </c>
      <c r="U95" s="13" t="str">
        <f t="shared" si="12"/>
        <v>SEM VALOR</v>
      </c>
      <c r="V95" s="4" t="str">
        <f ca="1">IF(OR($A95=0,$A95="S",$A95&gt;CFF!$A$9),"",MAX(V$12:OFFSET(V95,-1,0))+1)</f>
        <v/>
      </c>
      <c r="W95" s="9" t="str">
        <f t="shared" si="13"/>
        <v>SEE/MG-080008</v>
      </c>
      <c r="X95" s="4" t="e">
        <f t="shared" ca="1" si="14"/>
        <v>#REF!</v>
      </c>
      <c r="Y95" s="121">
        <v>148.39426399999999</v>
      </c>
      <c r="Z95" s="132">
        <f ca="1">ROUND(IF(ISNUMBER(R95),R95,IF(LEFT(R95,3)="BDI",HLOOKUP(R95,DADOS!$T$37:$X$38,2,FALSE),0)),15-11*$X$5)</f>
        <v>0.27639999999999998</v>
      </c>
      <c r="AA95" s="4"/>
    </row>
    <row r="96" spans="1:27" x14ac:dyDescent="0.2">
      <c r="A96">
        <f t="shared" si="0"/>
        <v>2</v>
      </c>
      <c r="B96">
        <f t="shared" ca="1" si="1"/>
        <v>5</v>
      </c>
      <c r="C96">
        <f t="shared" ca="1" si="2"/>
        <v>1</v>
      </c>
      <c r="D96">
        <f t="shared" ca="1" si="3"/>
        <v>10</v>
      </c>
      <c r="E96">
        <f t="shared" ca="1" si="4"/>
        <v>0</v>
      </c>
      <c r="F96">
        <f t="shared" ca="1" si="5"/>
        <v>0</v>
      </c>
      <c r="G96">
        <f t="shared" ca="1" si="6"/>
        <v>0</v>
      </c>
      <c r="H96">
        <f t="shared" ca="1" si="15"/>
        <v>131</v>
      </c>
      <c r="I96">
        <f t="shared" ca="1" si="16"/>
        <v>5</v>
      </c>
      <c r="J96" s="394" t="s">
        <v>100</v>
      </c>
      <c r="K96" s="162" t="str">
        <f t="shared" ca="1" si="9"/>
        <v>1.10.</v>
      </c>
      <c r="L96" s="395"/>
      <c r="M96" s="395"/>
      <c r="N96" s="397" t="s">
        <v>383</v>
      </c>
      <c r="O96" s="398"/>
      <c r="P96" s="399"/>
      <c r="Q96" s="228"/>
      <c r="R96" s="231" t="s">
        <v>7</v>
      </c>
      <c r="S96" s="121">
        <f t="shared" si="10"/>
        <v>0</v>
      </c>
      <c r="T96" s="98">
        <f t="shared" ca="1" si="11"/>
        <v>0</v>
      </c>
      <c r="U96" s="13" t="str">
        <f t="shared" ca="1" si="12"/>
        <v>SEM VALOR</v>
      </c>
      <c r="V96" s="4">
        <f ca="1">IF(OR($A96=0,$A96="S",$A96&gt;CFF!$A$9),"",MAX(V$12:OFFSET(V96,-1,0))+1)</f>
        <v>11</v>
      </c>
      <c r="W96" s="9" t="b">
        <f t="shared" si="13"/>
        <v>0</v>
      </c>
      <c r="X96" s="4" t="str">
        <f t="shared" ca="1" si="14"/>
        <v>X</v>
      </c>
      <c r="Y96" s="121">
        <v>0</v>
      </c>
      <c r="Z96" s="132">
        <f ca="1">ROUND(IF(ISNUMBER(R96),R96,IF(LEFT(R96,3)="BDI",HLOOKUP(R96,DADOS!$T$37:$X$38,2,FALSE),0)),15-11*$X$5)</f>
        <v>0.27639999999999998</v>
      </c>
      <c r="AA96" s="4"/>
    </row>
    <row r="97" spans="1:27" x14ac:dyDescent="0.2">
      <c r="A97" t="str">
        <f t="shared" si="0"/>
        <v>S</v>
      </c>
      <c r="B97">
        <f t="shared" si="1"/>
        <v>0</v>
      </c>
      <c r="C97">
        <f t="shared" ca="1" si="2"/>
        <v>1</v>
      </c>
      <c r="D97">
        <f t="shared" ca="1" si="3"/>
        <v>10</v>
      </c>
      <c r="E97">
        <f t="shared" ca="1" si="4"/>
        <v>0</v>
      </c>
      <c r="F97">
        <f t="shared" ca="1" si="5"/>
        <v>0</v>
      </c>
      <c r="G97">
        <f t="shared" ca="1" si="6"/>
        <v>1</v>
      </c>
      <c r="H97">
        <f t="shared" ca="1" si="15"/>
        <v>0</v>
      </c>
      <c r="I97">
        <f t="shared" ca="1" si="16"/>
        <v>0</v>
      </c>
      <c r="J97" s="394" t="s">
        <v>103</v>
      </c>
      <c r="K97" s="162" t="str">
        <f t="shared" ca="1" si="9"/>
        <v>1.10.0.0.1.</v>
      </c>
      <c r="L97" s="395" t="s">
        <v>236</v>
      </c>
      <c r="M97" s="395" t="s">
        <v>384</v>
      </c>
      <c r="N97" s="397" t="s">
        <v>385</v>
      </c>
      <c r="O97" s="398" t="s">
        <v>260</v>
      </c>
      <c r="P97" s="399">
        <v>1012.1200000000001</v>
      </c>
      <c r="Q97" s="228"/>
      <c r="R97" s="231" t="s">
        <v>7</v>
      </c>
      <c r="S97" s="121">
        <f t="shared" si="10"/>
        <v>0</v>
      </c>
      <c r="T97" s="98">
        <f t="shared" si="11"/>
        <v>0</v>
      </c>
      <c r="U97" s="13" t="str">
        <f t="shared" si="12"/>
        <v>SEM VALOR</v>
      </c>
      <c r="V97" s="4" t="str">
        <f ca="1">IF(OR($A97=0,$A97="S",$A97&gt;CFF!$A$9),"",MAX(V$12:OFFSET(V97,-1,0))+1)</f>
        <v/>
      </c>
      <c r="W97" s="9" t="str">
        <f t="shared" si="13"/>
        <v>SEE/MG-090001</v>
      </c>
      <c r="X97" s="4" t="e">
        <f t="shared" ca="1" si="14"/>
        <v>#REF!</v>
      </c>
      <c r="Y97" s="121">
        <v>17.218636</v>
      </c>
      <c r="Z97" s="132">
        <f ca="1">ROUND(IF(ISNUMBER(R97),R97,IF(LEFT(R97,3)="BDI",HLOOKUP(R97,DADOS!$T$37:$X$38,2,FALSE),0)),15-11*$X$5)</f>
        <v>0.27639999999999998</v>
      </c>
      <c r="AA97" s="4"/>
    </row>
    <row r="98" spans="1:27" x14ac:dyDescent="0.2">
      <c r="A98" t="str">
        <f t="shared" si="0"/>
        <v>S</v>
      </c>
      <c r="B98">
        <f t="shared" si="1"/>
        <v>0</v>
      </c>
      <c r="C98">
        <f t="shared" ca="1" si="2"/>
        <v>1</v>
      </c>
      <c r="D98">
        <f t="shared" ca="1" si="3"/>
        <v>10</v>
      </c>
      <c r="E98">
        <f t="shared" ca="1" si="4"/>
        <v>0</v>
      </c>
      <c r="F98">
        <f t="shared" ca="1" si="5"/>
        <v>0</v>
      </c>
      <c r="G98">
        <f t="shared" ca="1" si="6"/>
        <v>2</v>
      </c>
      <c r="H98">
        <f t="shared" ca="1" si="15"/>
        <v>0</v>
      </c>
      <c r="I98">
        <f t="shared" ca="1" si="16"/>
        <v>0</v>
      </c>
      <c r="J98" s="394" t="s">
        <v>103</v>
      </c>
      <c r="K98" s="162" t="str">
        <f t="shared" ca="1" si="9"/>
        <v>1.10.0.0.2.</v>
      </c>
      <c r="L98" s="395" t="s">
        <v>236</v>
      </c>
      <c r="M98" s="395" t="s">
        <v>386</v>
      </c>
      <c r="N98" s="397" t="s">
        <v>387</v>
      </c>
      <c r="O98" s="398" t="s">
        <v>260</v>
      </c>
      <c r="P98" s="399">
        <v>1887.3400000000001</v>
      </c>
      <c r="Q98" s="228"/>
      <c r="R98" s="231" t="s">
        <v>7</v>
      </c>
      <c r="S98" s="121">
        <f t="shared" si="10"/>
        <v>0</v>
      </c>
      <c r="T98" s="98">
        <f t="shared" si="11"/>
        <v>0</v>
      </c>
      <c r="U98" s="13" t="str">
        <f t="shared" si="12"/>
        <v>SEM VALOR</v>
      </c>
      <c r="V98" s="4" t="str">
        <f ca="1">IF(OR($A98=0,$A98="S",$A98&gt;CFF!$A$9),"",MAX(V$12:OFFSET(V98,-1,0))+1)</f>
        <v/>
      </c>
      <c r="W98" s="9" t="str">
        <f t="shared" si="13"/>
        <v>SEE/MG-090002</v>
      </c>
      <c r="X98" s="4" t="e">
        <f t="shared" ca="1" si="14"/>
        <v>#REF!</v>
      </c>
      <c r="Y98" s="121">
        <v>19.260876</v>
      </c>
      <c r="Z98" s="132">
        <f ca="1">ROUND(IF(ISNUMBER(R98),R98,IF(LEFT(R98,3)="BDI",HLOOKUP(R98,DADOS!$T$37:$X$38,2,FALSE),0)),15-11*$X$5)</f>
        <v>0.27639999999999998</v>
      </c>
      <c r="AA98" s="4"/>
    </row>
    <row r="99" spans="1:27" ht="25.5" x14ac:dyDescent="0.2">
      <c r="A99" t="str">
        <f t="shared" si="0"/>
        <v>S</v>
      </c>
      <c r="B99">
        <f t="shared" si="1"/>
        <v>0</v>
      </c>
      <c r="C99">
        <f t="shared" ca="1" si="2"/>
        <v>1</v>
      </c>
      <c r="D99">
        <f t="shared" ca="1" si="3"/>
        <v>10</v>
      </c>
      <c r="E99">
        <f t="shared" ca="1" si="4"/>
        <v>0</v>
      </c>
      <c r="F99">
        <f t="shared" ca="1" si="5"/>
        <v>0</v>
      </c>
      <c r="G99">
        <f t="shared" ca="1" si="6"/>
        <v>3</v>
      </c>
      <c r="H99">
        <f t="shared" ca="1" si="15"/>
        <v>0</v>
      </c>
      <c r="I99">
        <f t="shared" ca="1" si="16"/>
        <v>0</v>
      </c>
      <c r="J99" s="394" t="s">
        <v>103</v>
      </c>
      <c r="K99" s="162" t="str">
        <f t="shared" ca="1" si="9"/>
        <v>1.10.0.0.3.</v>
      </c>
      <c r="L99" s="395" t="s">
        <v>347</v>
      </c>
      <c r="M99" s="395" t="s">
        <v>391</v>
      </c>
      <c r="N99" s="397" t="s">
        <v>388</v>
      </c>
      <c r="O99" s="398" t="s">
        <v>260</v>
      </c>
      <c r="P99" s="399">
        <v>21.6</v>
      </c>
      <c r="Q99" s="228"/>
      <c r="R99" s="231" t="s">
        <v>7</v>
      </c>
      <c r="S99" s="121">
        <f t="shared" si="10"/>
        <v>0</v>
      </c>
      <c r="T99" s="98">
        <f t="shared" si="11"/>
        <v>0</v>
      </c>
      <c r="U99" s="13" t="str">
        <f t="shared" si="12"/>
        <v>SEM VALOR</v>
      </c>
      <c r="V99" s="4" t="str">
        <f ca="1">IF(OR($A99=0,$A99="S",$A99&gt;CFF!$A$9),"",MAX(V$12:OFFSET(V99,-1,0))+1)</f>
        <v/>
      </c>
      <c r="W99" s="9" t="str">
        <f t="shared" si="13"/>
        <v>SINAPI-100742</v>
      </c>
      <c r="X99" s="4" t="e">
        <f t="shared" ca="1" si="14"/>
        <v>#REF!</v>
      </c>
      <c r="Y99" s="121">
        <v>24.392004</v>
      </c>
      <c r="Z99" s="132">
        <f ca="1">ROUND(IF(ISNUMBER(R99),R99,IF(LEFT(R99,3)="BDI",HLOOKUP(R99,DADOS!$T$37:$X$38,2,FALSE),0)),15-11*$X$5)</f>
        <v>0.27639999999999998</v>
      </c>
      <c r="AA99" s="4"/>
    </row>
    <row r="100" spans="1:27" x14ac:dyDescent="0.2">
      <c r="A100" t="str">
        <f t="shared" si="0"/>
        <v>S</v>
      </c>
      <c r="B100">
        <f t="shared" si="1"/>
        <v>0</v>
      </c>
      <c r="C100">
        <f t="shared" ca="1" si="2"/>
        <v>1</v>
      </c>
      <c r="D100">
        <f t="shared" ca="1" si="3"/>
        <v>10</v>
      </c>
      <c r="E100">
        <f t="shared" ca="1" si="4"/>
        <v>0</v>
      </c>
      <c r="F100">
        <f t="shared" ca="1" si="5"/>
        <v>0</v>
      </c>
      <c r="G100">
        <f t="shared" ca="1" si="6"/>
        <v>4</v>
      </c>
      <c r="H100">
        <f t="shared" ca="1" si="15"/>
        <v>0</v>
      </c>
      <c r="I100">
        <f t="shared" ca="1" si="16"/>
        <v>0</v>
      </c>
      <c r="J100" s="394" t="s">
        <v>103</v>
      </c>
      <c r="K100" s="162" t="str">
        <f t="shared" ca="1" si="9"/>
        <v>1.10.0.0.4.</v>
      </c>
      <c r="L100" s="395" t="s">
        <v>236</v>
      </c>
      <c r="M100" s="395" t="s">
        <v>389</v>
      </c>
      <c r="N100" s="397" t="s">
        <v>390</v>
      </c>
      <c r="O100" s="398" t="s">
        <v>260</v>
      </c>
      <c r="P100" s="399">
        <v>62.56</v>
      </c>
      <c r="Q100" s="228"/>
      <c r="R100" s="231" t="s">
        <v>7</v>
      </c>
      <c r="S100" s="121">
        <f t="shared" si="10"/>
        <v>0</v>
      </c>
      <c r="T100" s="98">
        <f t="shared" si="11"/>
        <v>0</v>
      </c>
      <c r="U100" s="13" t="str">
        <f t="shared" si="12"/>
        <v>SEM VALOR</v>
      </c>
      <c r="V100" s="4" t="str">
        <f ca="1">IF(OR($A100=0,$A100="S",$A100&gt;CFF!$A$9),"",MAX(V$12:OFFSET(V100,-1,0))+1)</f>
        <v/>
      </c>
      <c r="W100" s="9" t="str">
        <f t="shared" si="13"/>
        <v>SEE/MG-090004</v>
      </c>
      <c r="X100" s="4" t="e">
        <f t="shared" ca="1" si="14"/>
        <v>#REF!</v>
      </c>
      <c r="Y100" s="121">
        <v>22.285944000000001</v>
      </c>
      <c r="Z100" s="132">
        <f ca="1">ROUND(IF(ISNUMBER(R100),R100,IF(LEFT(R100,3)="BDI",HLOOKUP(R100,DADOS!$T$37:$X$38,2,FALSE),0)),15-11*$X$5)</f>
        <v>0.27639999999999998</v>
      </c>
      <c r="AA100" s="4"/>
    </row>
    <row r="101" spans="1:27" x14ac:dyDescent="0.2">
      <c r="A101">
        <f t="shared" si="0"/>
        <v>2</v>
      </c>
      <c r="B101">
        <f t="shared" ca="1" si="1"/>
        <v>8</v>
      </c>
      <c r="C101">
        <f t="shared" ca="1" si="2"/>
        <v>1</v>
      </c>
      <c r="D101">
        <f t="shared" ca="1" si="3"/>
        <v>11</v>
      </c>
      <c r="E101">
        <f t="shared" ca="1" si="4"/>
        <v>0</v>
      </c>
      <c r="F101">
        <f t="shared" ca="1" si="5"/>
        <v>0</v>
      </c>
      <c r="G101">
        <f t="shared" ca="1" si="6"/>
        <v>0</v>
      </c>
      <c r="H101">
        <f t="shared" ca="1" si="15"/>
        <v>126</v>
      </c>
      <c r="I101">
        <f t="shared" ca="1" si="16"/>
        <v>8</v>
      </c>
      <c r="J101" s="394" t="s">
        <v>100</v>
      </c>
      <c r="K101" s="162" t="str">
        <f t="shared" ca="1" si="9"/>
        <v>1.11.</v>
      </c>
      <c r="L101" s="395"/>
      <c r="M101" s="395"/>
      <c r="N101" s="397" t="s">
        <v>392</v>
      </c>
      <c r="O101" s="398"/>
      <c r="P101" s="399"/>
      <c r="Q101" s="228"/>
      <c r="R101" s="231" t="s">
        <v>7</v>
      </c>
      <c r="S101" s="121">
        <f t="shared" si="10"/>
        <v>0</v>
      </c>
      <c r="T101" s="98">
        <f t="shared" ca="1" si="11"/>
        <v>0</v>
      </c>
      <c r="U101" s="13" t="str">
        <f t="shared" ca="1" si="12"/>
        <v>SEM VALOR</v>
      </c>
      <c r="V101" s="4">
        <f ca="1">IF(OR($A101=0,$A101="S",$A101&gt;CFF!$A$9),"",MAX(V$12:OFFSET(V101,-1,0))+1)</f>
        <v>12</v>
      </c>
      <c r="W101" s="9" t="b">
        <f t="shared" si="13"/>
        <v>0</v>
      </c>
      <c r="X101" s="4" t="str">
        <f t="shared" ca="1" si="14"/>
        <v>X</v>
      </c>
      <c r="Y101" s="121">
        <v>0</v>
      </c>
      <c r="Z101" s="132">
        <f ca="1">ROUND(IF(ISNUMBER(R101),R101,IF(LEFT(R101,3)="BDI",HLOOKUP(R101,DADOS!$T$37:$X$38,2,FALSE),0)),15-11*$X$5)</f>
        <v>0.27639999999999998</v>
      </c>
      <c r="AA101" s="4"/>
    </row>
    <row r="102" spans="1:27" ht="25.5" x14ac:dyDescent="0.2">
      <c r="A102" t="str">
        <f t="shared" si="0"/>
        <v>S</v>
      </c>
      <c r="B102">
        <f t="shared" si="1"/>
        <v>0</v>
      </c>
      <c r="C102">
        <f t="shared" ca="1" si="2"/>
        <v>1</v>
      </c>
      <c r="D102">
        <f t="shared" ca="1" si="3"/>
        <v>11</v>
      </c>
      <c r="E102">
        <f t="shared" ca="1" si="4"/>
        <v>0</v>
      </c>
      <c r="F102">
        <f t="shared" ca="1" si="5"/>
        <v>0</v>
      </c>
      <c r="G102">
        <f t="shared" ca="1" si="6"/>
        <v>1</v>
      </c>
      <c r="H102">
        <f t="shared" ca="1" si="15"/>
        <v>0</v>
      </c>
      <c r="I102">
        <f t="shared" ca="1" si="16"/>
        <v>0</v>
      </c>
      <c r="J102" s="394" t="s">
        <v>103</v>
      </c>
      <c r="K102" s="162" t="str">
        <f t="shared" ca="1" si="9"/>
        <v>1.11.0.0.1.</v>
      </c>
      <c r="L102" s="395" t="s">
        <v>236</v>
      </c>
      <c r="M102" s="395" t="s">
        <v>393</v>
      </c>
      <c r="N102" s="397" t="s">
        <v>394</v>
      </c>
      <c r="O102" s="398" t="s">
        <v>275</v>
      </c>
      <c r="P102" s="399">
        <v>23</v>
      </c>
      <c r="Q102" s="228"/>
      <c r="R102" s="231" t="s">
        <v>7</v>
      </c>
      <c r="S102" s="121">
        <f t="shared" si="10"/>
        <v>0</v>
      </c>
      <c r="T102" s="98">
        <f t="shared" si="11"/>
        <v>0</v>
      </c>
      <c r="U102" s="13" t="str">
        <f t="shared" si="12"/>
        <v>SEM VALOR</v>
      </c>
      <c r="V102" s="4" t="str">
        <f ca="1">IF(OR($A102=0,$A102="S",$A102&gt;CFF!$A$9),"",MAX(V$12:OFFSET(V102,-1,0))+1)</f>
        <v/>
      </c>
      <c r="W102" s="9" t="str">
        <f t="shared" si="13"/>
        <v>SEE/MG-100001</v>
      </c>
      <c r="X102" s="4" t="e">
        <f t="shared" ca="1" si="14"/>
        <v>#REF!</v>
      </c>
      <c r="Y102" s="121">
        <v>28.527539999999998</v>
      </c>
      <c r="Z102" s="132">
        <f ca="1">ROUND(IF(ISNUMBER(R102),R102,IF(LEFT(R102,3)="BDI",HLOOKUP(R102,DADOS!$T$37:$X$38,2,FALSE),0)),15-11*$X$5)</f>
        <v>0.27639999999999998</v>
      </c>
      <c r="AA102" s="4"/>
    </row>
    <row r="103" spans="1:27" ht="25.5" x14ac:dyDescent="0.2">
      <c r="A103" t="str">
        <f t="shared" si="0"/>
        <v>S</v>
      </c>
      <c r="B103">
        <f t="shared" si="1"/>
        <v>0</v>
      </c>
      <c r="C103">
        <f t="shared" ca="1" si="2"/>
        <v>1</v>
      </c>
      <c r="D103">
        <f t="shared" ca="1" si="3"/>
        <v>11</v>
      </c>
      <c r="E103">
        <f t="shared" ca="1" si="4"/>
        <v>0</v>
      </c>
      <c r="F103">
        <f t="shared" ca="1" si="5"/>
        <v>0</v>
      </c>
      <c r="G103">
        <f t="shared" ca="1" si="6"/>
        <v>2</v>
      </c>
      <c r="H103">
        <f t="shared" ca="1" si="15"/>
        <v>0</v>
      </c>
      <c r="I103">
        <f t="shared" ca="1" si="16"/>
        <v>0</v>
      </c>
      <c r="J103" s="394" t="s">
        <v>103</v>
      </c>
      <c r="K103" s="162" t="str">
        <f t="shared" ca="1" si="9"/>
        <v>1.11.0.0.2.</v>
      </c>
      <c r="L103" s="395" t="s">
        <v>236</v>
      </c>
      <c r="M103" s="395" t="s">
        <v>395</v>
      </c>
      <c r="N103" s="397" t="s">
        <v>396</v>
      </c>
      <c r="O103" s="398" t="s">
        <v>275</v>
      </c>
      <c r="P103" s="399">
        <v>8</v>
      </c>
      <c r="Q103" s="228"/>
      <c r="R103" s="231" t="s">
        <v>7</v>
      </c>
      <c r="S103" s="121">
        <f t="shared" si="10"/>
        <v>0</v>
      </c>
      <c r="T103" s="98">
        <f t="shared" si="11"/>
        <v>0</v>
      </c>
      <c r="U103" s="13" t="str">
        <f t="shared" si="12"/>
        <v>SEM VALOR</v>
      </c>
      <c r="V103" s="4" t="str">
        <f ca="1">IF(OR($A103=0,$A103="S",$A103&gt;CFF!$A$9),"",MAX(V$12:OFFSET(V103,-1,0))+1)</f>
        <v/>
      </c>
      <c r="W103" s="9" t="str">
        <f t="shared" si="13"/>
        <v>SEE/MG-100002</v>
      </c>
      <c r="X103" s="4" t="e">
        <f t="shared" ca="1" si="14"/>
        <v>#REF!</v>
      </c>
      <c r="Y103" s="121">
        <v>31.539843999999999</v>
      </c>
      <c r="Z103" s="132">
        <f ca="1">ROUND(IF(ISNUMBER(R103),R103,IF(LEFT(R103,3)="BDI",HLOOKUP(R103,DADOS!$T$37:$X$38,2,FALSE),0)),15-11*$X$5)</f>
        <v>0.27639999999999998</v>
      </c>
      <c r="AA103" s="4"/>
    </row>
    <row r="104" spans="1:27" ht="25.5" x14ac:dyDescent="0.2">
      <c r="A104" t="str">
        <f t="shared" si="0"/>
        <v>S</v>
      </c>
      <c r="B104">
        <f t="shared" si="1"/>
        <v>0</v>
      </c>
      <c r="C104">
        <f t="shared" ca="1" si="2"/>
        <v>1</v>
      </c>
      <c r="D104">
        <f t="shared" ca="1" si="3"/>
        <v>11</v>
      </c>
      <c r="E104">
        <f t="shared" ca="1" si="4"/>
        <v>0</v>
      </c>
      <c r="F104">
        <f t="shared" ca="1" si="5"/>
        <v>0</v>
      </c>
      <c r="G104">
        <f t="shared" ca="1" si="6"/>
        <v>3</v>
      </c>
      <c r="H104">
        <f t="shared" ca="1" si="15"/>
        <v>0</v>
      </c>
      <c r="I104">
        <f t="shared" ca="1" si="16"/>
        <v>0</v>
      </c>
      <c r="J104" s="394" t="s">
        <v>103</v>
      </c>
      <c r="K104" s="162" t="str">
        <f t="shared" ca="1" si="9"/>
        <v>1.11.0.0.3.</v>
      </c>
      <c r="L104" s="395" t="s">
        <v>236</v>
      </c>
      <c r="M104" s="395" t="s">
        <v>397</v>
      </c>
      <c r="N104" s="397" t="s">
        <v>398</v>
      </c>
      <c r="O104" s="398" t="s">
        <v>275</v>
      </c>
      <c r="P104" s="399">
        <v>3</v>
      </c>
      <c r="Q104" s="228"/>
      <c r="R104" s="231" t="s">
        <v>7</v>
      </c>
      <c r="S104" s="121">
        <f t="shared" si="10"/>
        <v>0</v>
      </c>
      <c r="T104" s="98">
        <f t="shared" si="11"/>
        <v>0</v>
      </c>
      <c r="U104" s="13" t="str">
        <f t="shared" si="12"/>
        <v>SEM VALOR</v>
      </c>
      <c r="V104" s="4" t="str">
        <f ca="1">IF(OR($A104=0,$A104="S",$A104&gt;CFF!$A$9),"",MAX(V$12:OFFSET(V104,-1,0))+1)</f>
        <v/>
      </c>
      <c r="W104" s="9" t="str">
        <f t="shared" si="13"/>
        <v>SEE/MG-100003</v>
      </c>
      <c r="X104" s="4" t="e">
        <f t="shared" ca="1" si="14"/>
        <v>#REF!</v>
      </c>
      <c r="Y104" s="121">
        <v>43.550767999999998</v>
      </c>
      <c r="Z104" s="132">
        <f ca="1">ROUND(IF(ISNUMBER(R104),R104,IF(LEFT(R104,3)="BDI",HLOOKUP(R104,DADOS!$T$37:$X$38,2,FALSE),0)),15-11*$X$5)</f>
        <v>0.27639999999999998</v>
      </c>
      <c r="AA104" s="4"/>
    </row>
    <row r="105" spans="1:27" ht="25.5" x14ac:dyDescent="0.2">
      <c r="A105" t="str">
        <f t="shared" si="0"/>
        <v>S</v>
      </c>
      <c r="B105">
        <f t="shared" si="1"/>
        <v>0</v>
      </c>
      <c r="C105">
        <f t="shared" ca="1" si="2"/>
        <v>1</v>
      </c>
      <c r="D105">
        <f t="shared" ca="1" si="3"/>
        <v>11</v>
      </c>
      <c r="E105">
        <f t="shared" ca="1" si="4"/>
        <v>0</v>
      </c>
      <c r="F105">
        <f t="shared" ca="1" si="5"/>
        <v>0</v>
      </c>
      <c r="G105">
        <f t="shared" ca="1" si="6"/>
        <v>4</v>
      </c>
      <c r="H105">
        <f t="shared" ca="1" si="15"/>
        <v>0</v>
      </c>
      <c r="I105">
        <f t="shared" ca="1" si="16"/>
        <v>0</v>
      </c>
      <c r="J105" s="394" t="s">
        <v>103</v>
      </c>
      <c r="K105" s="162" t="str">
        <f t="shared" ca="1" si="9"/>
        <v>1.11.0.0.4.</v>
      </c>
      <c r="L105" s="395" t="s">
        <v>236</v>
      </c>
      <c r="M105" s="395" t="s">
        <v>399</v>
      </c>
      <c r="N105" s="397" t="s">
        <v>400</v>
      </c>
      <c r="O105" s="398" t="s">
        <v>275</v>
      </c>
      <c r="P105" s="399">
        <v>11</v>
      </c>
      <c r="Q105" s="228"/>
      <c r="R105" s="231" t="s">
        <v>7</v>
      </c>
      <c r="S105" s="121">
        <f t="shared" si="10"/>
        <v>0</v>
      </c>
      <c r="T105" s="98">
        <f t="shared" si="11"/>
        <v>0</v>
      </c>
      <c r="U105" s="13" t="str">
        <f t="shared" si="12"/>
        <v>SEM VALOR</v>
      </c>
      <c r="V105" s="4" t="str">
        <f ca="1">IF(OR($A105=0,$A105="S",$A105&gt;CFF!$A$9),"",MAX(V$12:OFFSET(V105,-1,0))+1)</f>
        <v/>
      </c>
      <c r="W105" s="9" t="str">
        <f t="shared" si="13"/>
        <v>SEE/MG-100004</v>
      </c>
      <c r="X105" s="4" t="e">
        <f t="shared" ca="1" si="14"/>
        <v>#REF!</v>
      </c>
      <c r="Y105" s="121">
        <v>53.315227999999998</v>
      </c>
      <c r="Z105" s="132">
        <f ca="1">ROUND(IF(ISNUMBER(R105),R105,IF(LEFT(R105,3)="BDI",HLOOKUP(R105,DADOS!$T$37:$X$38,2,FALSE),0)),15-11*$X$5)</f>
        <v>0.27639999999999998</v>
      </c>
      <c r="AA105" s="4"/>
    </row>
    <row r="106" spans="1:27" ht="25.5" x14ac:dyDescent="0.2">
      <c r="A106" t="str">
        <f t="shared" si="0"/>
        <v>S</v>
      </c>
      <c r="B106">
        <f t="shared" si="1"/>
        <v>0</v>
      </c>
      <c r="C106">
        <f t="shared" ca="1" si="2"/>
        <v>1</v>
      </c>
      <c r="D106">
        <f t="shared" ca="1" si="3"/>
        <v>11</v>
      </c>
      <c r="E106">
        <f t="shared" ca="1" si="4"/>
        <v>0</v>
      </c>
      <c r="F106">
        <f t="shared" ca="1" si="5"/>
        <v>0</v>
      </c>
      <c r="G106">
        <f t="shared" ca="1" si="6"/>
        <v>5</v>
      </c>
      <c r="H106">
        <f t="shared" ca="1" si="15"/>
        <v>0</v>
      </c>
      <c r="I106">
        <f t="shared" ca="1" si="16"/>
        <v>0</v>
      </c>
      <c r="J106" s="394" t="s">
        <v>103</v>
      </c>
      <c r="K106" s="162" t="str">
        <f t="shared" ca="1" si="9"/>
        <v>1.11.0.0.5.</v>
      </c>
      <c r="L106" s="395" t="s">
        <v>236</v>
      </c>
      <c r="M106" s="395" t="s">
        <v>401</v>
      </c>
      <c r="N106" s="397" t="s">
        <v>402</v>
      </c>
      <c r="O106" s="398" t="s">
        <v>275</v>
      </c>
      <c r="P106" s="399">
        <v>4</v>
      </c>
      <c r="Q106" s="228"/>
      <c r="R106" s="231" t="s">
        <v>7</v>
      </c>
      <c r="S106" s="121">
        <f t="shared" si="10"/>
        <v>0</v>
      </c>
      <c r="T106" s="98">
        <f t="shared" si="11"/>
        <v>0</v>
      </c>
      <c r="U106" s="13" t="str">
        <f t="shared" si="12"/>
        <v>SEM VALOR</v>
      </c>
      <c r="V106" s="4" t="str">
        <f ca="1">IF(OR($A106=0,$A106="S",$A106&gt;CFF!$A$9),"",MAX(V$12:OFFSET(V106,-1,0))+1)</f>
        <v/>
      </c>
      <c r="W106" s="9" t="str">
        <f t="shared" si="13"/>
        <v>SEE/MG-100005</v>
      </c>
      <c r="X106" s="4" t="e">
        <f t="shared" ca="1" si="14"/>
        <v>#REF!</v>
      </c>
      <c r="Y106" s="121">
        <v>54.578864000000003</v>
      </c>
      <c r="Z106" s="132">
        <f ca="1">ROUND(IF(ISNUMBER(R106),R106,IF(LEFT(R106,3)="BDI",HLOOKUP(R106,DADOS!$T$37:$X$38,2,FALSE),0)),15-11*$X$5)</f>
        <v>0.27639999999999998</v>
      </c>
      <c r="AA106" s="4"/>
    </row>
    <row r="107" spans="1:27" ht="25.5" x14ac:dyDescent="0.2">
      <c r="A107" t="str">
        <f t="shared" si="0"/>
        <v>S</v>
      </c>
      <c r="B107">
        <f t="shared" si="1"/>
        <v>0</v>
      </c>
      <c r="C107">
        <f t="shared" ca="1" si="2"/>
        <v>1</v>
      </c>
      <c r="D107">
        <f t="shared" ca="1" si="3"/>
        <v>11</v>
      </c>
      <c r="E107">
        <f t="shared" ca="1" si="4"/>
        <v>0</v>
      </c>
      <c r="F107">
        <f t="shared" ca="1" si="5"/>
        <v>0</v>
      </c>
      <c r="G107">
        <f t="shared" ca="1" si="6"/>
        <v>6</v>
      </c>
      <c r="H107">
        <f t="shared" ca="1" si="15"/>
        <v>0</v>
      </c>
      <c r="I107">
        <f t="shared" ca="1" si="16"/>
        <v>0</v>
      </c>
      <c r="J107" s="394" t="s">
        <v>103</v>
      </c>
      <c r="K107" s="162" t="str">
        <f t="shared" ca="1" si="9"/>
        <v>1.11.0.0.6.</v>
      </c>
      <c r="L107" s="395" t="s">
        <v>236</v>
      </c>
      <c r="M107" s="395" t="s">
        <v>403</v>
      </c>
      <c r="N107" s="397" t="s">
        <v>404</v>
      </c>
      <c r="O107" s="398" t="s">
        <v>275</v>
      </c>
      <c r="P107" s="399">
        <v>69</v>
      </c>
      <c r="Q107" s="228"/>
      <c r="R107" s="231" t="s">
        <v>7</v>
      </c>
      <c r="S107" s="121">
        <f t="shared" si="10"/>
        <v>0</v>
      </c>
      <c r="T107" s="98">
        <f t="shared" si="11"/>
        <v>0</v>
      </c>
      <c r="U107" s="13" t="str">
        <f t="shared" si="12"/>
        <v>SEM VALOR</v>
      </c>
      <c r="V107" s="4" t="str">
        <f ca="1">IF(OR($A107=0,$A107="S",$A107&gt;CFF!$A$9),"",MAX(V$12:OFFSET(V107,-1,0))+1)</f>
        <v/>
      </c>
      <c r="W107" s="9" t="str">
        <f t="shared" si="13"/>
        <v>SEE/MG-100006</v>
      </c>
      <c r="X107" s="4" t="e">
        <f t="shared" ca="1" si="14"/>
        <v>#REF!</v>
      </c>
      <c r="Y107" s="121">
        <v>63.526428000000003</v>
      </c>
      <c r="Z107" s="132">
        <f ca="1">ROUND(IF(ISNUMBER(R107),R107,IF(LEFT(R107,3)="BDI",HLOOKUP(R107,DADOS!$T$37:$X$38,2,FALSE),0)),15-11*$X$5)</f>
        <v>0.27639999999999998</v>
      </c>
      <c r="AA107" s="4"/>
    </row>
    <row r="108" spans="1:27" ht="25.5" x14ac:dyDescent="0.2">
      <c r="A108" t="str">
        <f t="shared" si="0"/>
        <v>S</v>
      </c>
      <c r="B108">
        <f t="shared" si="1"/>
        <v>0</v>
      </c>
      <c r="C108">
        <f t="shared" ca="1" si="2"/>
        <v>1</v>
      </c>
      <c r="D108">
        <f t="shared" ca="1" si="3"/>
        <v>11</v>
      </c>
      <c r="E108">
        <f t="shared" ca="1" si="4"/>
        <v>0</v>
      </c>
      <c r="F108">
        <f t="shared" ca="1" si="5"/>
        <v>0</v>
      </c>
      <c r="G108">
        <f t="shared" ca="1" si="6"/>
        <v>7</v>
      </c>
      <c r="H108">
        <f t="shared" ca="1" si="15"/>
        <v>0</v>
      </c>
      <c r="I108">
        <f t="shared" ca="1" si="16"/>
        <v>0</v>
      </c>
      <c r="J108" s="394" t="s">
        <v>103</v>
      </c>
      <c r="K108" s="162" t="str">
        <f t="shared" ca="1" si="9"/>
        <v>1.11.0.0.7.</v>
      </c>
      <c r="L108" s="395" t="s">
        <v>236</v>
      </c>
      <c r="M108" s="395" t="s">
        <v>405</v>
      </c>
      <c r="N108" s="397" t="s">
        <v>406</v>
      </c>
      <c r="O108" s="398" t="s">
        <v>259</v>
      </c>
      <c r="P108" s="399">
        <v>1</v>
      </c>
      <c r="Q108" s="228"/>
      <c r="R108" s="231" t="s">
        <v>7</v>
      </c>
      <c r="S108" s="121">
        <f t="shared" si="10"/>
        <v>0</v>
      </c>
      <c r="T108" s="98">
        <f t="shared" si="11"/>
        <v>0</v>
      </c>
      <c r="U108" s="13" t="str">
        <f t="shared" si="12"/>
        <v>SEM VALOR</v>
      </c>
      <c r="V108" s="4" t="str">
        <f ca="1">IF(OR($A108=0,$A108="S",$A108&gt;CFF!$A$9),"",MAX(V$12:OFFSET(V108,-1,0))+1)</f>
        <v/>
      </c>
      <c r="W108" s="9" t="str">
        <f t="shared" si="13"/>
        <v>SEE/MG-100007</v>
      </c>
      <c r="X108" s="4" t="e">
        <f t="shared" ca="1" si="14"/>
        <v>#REF!</v>
      </c>
      <c r="Y108" s="121">
        <v>10355.586368</v>
      </c>
      <c r="Z108" s="132">
        <f ca="1">ROUND(IF(ISNUMBER(R108),R108,IF(LEFT(R108,3)="BDI",HLOOKUP(R108,DADOS!$T$37:$X$38,2,FALSE),0)),15-11*$X$5)</f>
        <v>0.27639999999999998</v>
      </c>
      <c r="AA108" s="4"/>
    </row>
    <row r="109" spans="1:27" x14ac:dyDescent="0.2">
      <c r="A109">
        <f t="shared" si="0"/>
        <v>2</v>
      </c>
      <c r="B109">
        <f t="shared" ca="1" si="1"/>
        <v>16</v>
      </c>
      <c r="C109">
        <f t="shared" ca="1" si="2"/>
        <v>1</v>
      </c>
      <c r="D109">
        <f t="shared" ca="1" si="3"/>
        <v>12</v>
      </c>
      <c r="E109">
        <f t="shared" ca="1" si="4"/>
        <v>0</v>
      </c>
      <c r="F109">
        <f t="shared" ca="1" si="5"/>
        <v>0</v>
      </c>
      <c r="G109">
        <f t="shared" ca="1" si="6"/>
        <v>0</v>
      </c>
      <c r="H109">
        <f t="shared" ca="1" si="15"/>
        <v>118</v>
      </c>
      <c r="I109">
        <f t="shared" ca="1" si="16"/>
        <v>16</v>
      </c>
      <c r="J109" s="394" t="s">
        <v>100</v>
      </c>
      <c r="K109" s="162" t="str">
        <f t="shared" ca="1" si="9"/>
        <v>1.12.</v>
      </c>
      <c r="L109" s="395"/>
      <c r="M109" s="395"/>
      <c r="N109" s="397" t="s">
        <v>407</v>
      </c>
      <c r="O109" s="398"/>
      <c r="P109" s="399"/>
      <c r="Q109" s="228"/>
      <c r="R109" s="231" t="s">
        <v>7</v>
      </c>
      <c r="S109" s="121">
        <f t="shared" si="10"/>
        <v>0</v>
      </c>
      <c r="T109" s="98">
        <f t="shared" ca="1" si="11"/>
        <v>0</v>
      </c>
      <c r="U109" s="13" t="str">
        <f t="shared" ca="1" si="12"/>
        <v>SEM VALOR</v>
      </c>
      <c r="V109" s="4">
        <f ca="1">IF(OR($A109=0,$A109="S",$A109&gt;CFF!$A$9),"",MAX(V$12:OFFSET(V109,-1,0))+1)</f>
        <v>13</v>
      </c>
      <c r="W109" s="9" t="b">
        <f t="shared" si="13"/>
        <v>0</v>
      </c>
      <c r="X109" s="4" t="str">
        <f t="shared" ca="1" si="14"/>
        <v>X</v>
      </c>
      <c r="Y109" s="121">
        <v>0</v>
      </c>
      <c r="Z109" s="132">
        <f ca="1">ROUND(IF(ISNUMBER(R109),R109,IF(LEFT(R109,3)="BDI",HLOOKUP(R109,DADOS!$T$37:$X$38,2,FALSE),0)),15-11*$X$5)</f>
        <v>0.27639999999999998</v>
      </c>
      <c r="AA109" s="4"/>
    </row>
    <row r="110" spans="1:27" x14ac:dyDescent="0.2">
      <c r="A110">
        <f t="shared" si="0"/>
        <v>3</v>
      </c>
      <c r="B110">
        <f t="shared" ca="1" si="1"/>
        <v>9</v>
      </c>
      <c r="C110">
        <f t="shared" ca="1" si="2"/>
        <v>1</v>
      </c>
      <c r="D110">
        <f t="shared" ca="1" si="3"/>
        <v>12</v>
      </c>
      <c r="E110">
        <f t="shared" ca="1" si="4"/>
        <v>1</v>
      </c>
      <c r="F110">
        <f t="shared" ca="1" si="5"/>
        <v>0</v>
      </c>
      <c r="G110">
        <f t="shared" ca="1" si="6"/>
        <v>0</v>
      </c>
      <c r="H110">
        <f t="shared" ca="1" si="15"/>
        <v>15</v>
      </c>
      <c r="I110">
        <f t="shared" ca="1" si="16"/>
        <v>9</v>
      </c>
      <c r="J110" s="394" t="s">
        <v>101</v>
      </c>
      <c r="K110" s="162" t="str">
        <f t="shared" ca="1" si="9"/>
        <v>1.12.1.</v>
      </c>
      <c r="L110" s="395"/>
      <c r="M110" s="395"/>
      <c r="N110" s="397" t="s">
        <v>408</v>
      </c>
      <c r="O110" s="398"/>
      <c r="P110" s="399"/>
      <c r="Q110" s="228"/>
      <c r="R110" s="231" t="s">
        <v>7</v>
      </c>
      <c r="S110" s="121">
        <f t="shared" si="10"/>
        <v>0</v>
      </c>
      <c r="T110" s="98">
        <f t="shared" ca="1" si="11"/>
        <v>0</v>
      </c>
      <c r="U110" s="13" t="str">
        <f t="shared" ca="1" si="12"/>
        <v>SEM VALOR</v>
      </c>
      <c r="V110" s="4" t="str">
        <f ca="1">IF(OR($A110=0,$A110="S",$A110&gt;CFF!$A$9),"",MAX(V$12:OFFSET(V110,-1,0))+1)</f>
        <v/>
      </c>
      <c r="W110" s="9" t="b">
        <f t="shared" si="13"/>
        <v>0</v>
      </c>
      <c r="X110" s="4" t="str">
        <f t="shared" ca="1" si="14"/>
        <v>X</v>
      </c>
      <c r="Y110" s="121">
        <v>0</v>
      </c>
      <c r="Z110" s="132">
        <f ca="1">ROUND(IF(ISNUMBER(R110),R110,IF(LEFT(R110,3)="BDI",HLOOKUP(R110,DADOS!$T$37:$X$38,2,FALSE),0)),15-11*$X$5)</f>
        <v>0.27639999999999998</v>
      </c>
      <c r="AA110" s="4"/>
    </row>
    <row r="111" spans="1:27" x14ac:dyDescent="0.2">
      <c r="A111" t="str">
        <f t="shared" si="0"/>
        <v>S</v>
      </c>
      <c r="B111">
        <f t="shared" si="1"/>
        <v>0</v>
      </c>
      <c r="C111">
        <f t="shared" ca="1" si="2"/>
        <v>1</v>
      </c>
      <c r="D111">
        <f t="shared" ca="1" si="3"/>
        <v>12</v>
      </c>
      <c r="E111">
        <f t="shared" ca="1" si="4"/>
        <v>1</v>
      </c>
      <c r="F111">
        <f t="shared" ca="1" si="5"/>
        <v>0</v>
      </c>
      <c r="G111">
        <f t="shared" ca="1" si="6"/>
        <v>1</v>
      </c>
      <c r="H111">
        <f t="shared" ca="1" si="15"/>
        <v>0</v>
      </c>
      <c r="I111">
        <f t="shared" ca="1" si="16"/>
        <v>0</v>
      </c>
      <c r="J111" s="394" t="s">
        <v>103</v>
      </c>
      <c r="K111" s="162" t="str">
        <f t="shared" ca="1" si="9"/>
        <v>1.12.1.0.1.</v>
      </c>
      <c r="L111" s="395" t="s">
        <v>236</v>
      </c>
      <c r="M111" s="395" t="s">
        <v>409</v>
      </c>
      <c r="N111" s="397" t="s">
        <v>410</v>
      </c>
      <c r="O111" s="398" t="s">
        <v>275</v>
      </c>
      <c r="P111" s="399">
        <v>28</v>
      </c>
      <c r="Q111" s="228"/>
      <c r="R111" s="231" t="s">
        <v>7</v>
      </c>
      <c r="S111" s="121">
        <f t="shared" si="10"/>
        <v>0</v>
      </c>
      <c r="T111" s="98">
        <f t="shared" si="11"/>
        <v>0</v>
      </c>
      <c r="U111" s="13" t="str">
        <f t="shared" si="12"/>
        <v>SEM VALOR</v>
      </c>
      <c r="V111" s="4" t="str">
        <f ca="1">IF(OR($A111=0,$A111="S",$A111&gt;CFF!$A$9),"",MAX(V$12:OFFSET(V111,-1,0))+1)</f>
        <v/>
      </c>
      <c r="W111" s="9" t="str">
        <f t="shared" si="13"/>
        <v>SEE/MG-110001</v>
      </c>
      <c r="X111" s="4" t="e">
        <f t="shared" ca="1" si="14"/>
        <v>#REF!</v>
      </c>
      <c r="Y111" s="121">
        <v>26.140671999999999</v>
      </c>
      <c r="Z111" s="132">
        <f ca="1">ROUND(IF(ISNUMBER(R111),R111,IF(LEFT(R111,3)="BDI",HLOOKUP(R111,DADOS!$T$37:$X$38,2,FALSE),0)),15-11*$X$5)</f>
        <v>0.27639999999999998</v>
      </c>
      <c r="AA111" s="4"/>
    </row>
    <row r="112" spans="1:27" x14ac:dyDescent="0.2">
      <c r="A112" t="str">
        <f t="shared" si="0"/>
        <v>S</v>
      </c>
      <c r="B112">
        <f t="shared" si="1"/>
        <v>0</v>
      </c>
      <c r="C112">
        <f t="shared" ca="1" si="2"/>
        <v>1</v>
      </c>
      <c r="D112">
        <f t="shared" ca="1" si="3"/>
        <v>12</v>
      </c>
      <c r="E112">
        <f t="shared" ca="1" si="4"/>
        <v>1</v>
      </c>
      <c r="F112">
        <f t="shared" ca="1" si="5"/>
        <v>0</v>
      </c>
      <c r="G112">
        <f t="shared" ca="1" si="6"/>
        <v>2</v>
      </c>
      <c r="H112">
        <f t="shared" ca="1" si="15"/>
        <v>0</v>
      </c>
      <c r="I112">
        <f t="shared" ca="1" si="16"/>
        <v>0</v>
      </c>
      <c r="J112" s="394" t="s">
        <v>103</v>
      </c>
      <c r="K112" s="162" t="str">
        <f t="shared" ca="1" si="9"/>
        <v>1.12.1.0.2.</v>
      </c>
      <c r="L112" s="395" t="s">
        <v>236</v>
      </c>
      <c r="M112" s="395" t="s">
        <v>411</v>
      </c>
      <c r="N112" s="397" t="s">
        <v>412</v>
      </c>
      <c r="O112" s="398" t="s">
        <v>275</v>
      </c>
      <c r="P112" s="399">
        <v>25</v>
      </c>
      <c r="Q112" s="228"/>
      <c r="R112" s="231" t="s">
        <v>7</v>
      </c>
      <c r="S112" s="121">
        <f t="shared" si="10"/>
        <v>0</v>
      </c>
      <c r="T112" s="98">
        <f t="shared" si="11"/>
        <v>0</v>
      </c>
      <c r="U112" s="13" t="str">
        <f t="shared" si="12"/>
        <v>SEM VALOR</v>
      </c>
      <c r="V112" s="4" t="str">
        <f ca="1">IF(OR($A112=0,$A112="S",$A112&gt;CFF!$A$9),"",MAX(V$12:OFFSET(V112,-1,0))+1)</f>
        <v/>
      </c>
      <c r="W112" s="9" t="str">
        <f t="shared" si="13"/>
        <v>SEE/MG-110002</v>
      </c>
      <c r="X112" s="4" t="e">
        <f t="shared" ca="1" si="14"/>
        <v>#REF!</v>
      </c>
      <c r="Y112" s="121">
        <v>36.428455999999997</v>
      </c>
      <c r="Z112" s="132">
        <f ca="1">ROUND(IF(ISNUMBER(R112),R112,IF(LEFT(R112,3)="BDI",HLOOKUP(R112,DADOS!$T$37:$X$38,2,FALSE),0)),15-11*$X$5)</f>
        <v>0.27639999999999998</v>
      </c>
      <c r="AA112" s="4"/>
    </row>
    <row r="113" spans="1:27" x14ac:dyDescent="0.2">
      <c r="A113" t="str">
        <f t="shared" si="0"/>
        <v>S</v>
      </c>
      <c r="B113">
        <f t="shared" si="1"/>
        <v>0</v>
      </c>
      <c r="C113">
        <f t="shared" ca="1" si="2"/>
        <v>1</v>
      </c>
      <c r="D113">
        <f t="shared" ca="1" si="3"/>
        <v>12</v>
      </c>
      <c r="E113">
        <f t="shared" ca="1" si="4"/>
        <v>1</v>
      </c>
      <c r="F113">
        <f t="shared" ca="1" si="5"/>
        <v>0</v>
      </c>
      <c r="G113">
        <f t="shared" ca="1" si="6"/>
        <v>3</v>
      </c>
      <c r="H113">
        <f t="shared" ca="1" si="15"/>
        <v>0</v>
      </c>
      <c r="I113">
        <f t="shared" ca="1" si="16"/>
        <v>0</v>
      </c>
      <c r="J113" s="394" t="s">
        <v>103</v>
      </c>
      <c r="K113" s="162" t="str">
        <f t="shared" ca="1" si="9"/>
        <v>1.12.1.0.3.</v>
      </c>
      <c r="L113" s="395" t="s">
        <v>236</v>
      </c>
      <c r="M113" s="395" t="s">
        <v>413</v>
      </c>
      <c r="N113" s="397" t="s">
        <v>414</v>
      </c>
      <c r="O113" s="398" t="s">
        <v>275</v>
      </c>
      <c r="P113" s="399">
        <v>77</v>
      </c>
      <c r="Q113" s="228"/>
      <c r="R113" s="231" t="s">
        <v>7</v>
      </c>
      <c r="S113" s="121">
        <f t="shared" si="10"/>
        <v>0</v>
      </c>
      <c r="T113" s="98">
        <f t="shared" si="11"/>
        <v>0</v>
      </c>
      <c r="U113" s="13" t="str">
        <f t="shared" si="12"/>
        <v>SEM VALOR</v>
      </c>
      <c r="V113" s="4" t="str">
        <f ca="1">IF(OR($A113=0,$A113="S",$A113&gt;CFF!$A$9),"",MAX(V$12:OFFSET(V113,-1,0))+1)</f>
        <v/>
      </c>
      <c r="W113" s="9" t="str">
        <f t="shared" si="13"/>
        <v>SEE/MG-110003</v>
      </c>
      <c r="X113" s="4" t="e">
        <f t="shared" ca="1" si="14"/>
        <v>#REF!</v>
      </c>
      <c r="Y113" s="121">
        <v>53.825788000000003</v>
      </c>
      <c r="Z113" s="132">
        <f ca="1">ROUND(IF(ISNUMBER(R113),R113,IF(LEFT(R113,3)="BDI",HLOOKUP(R113,DADOS!$T$37:$X$38,2,FALSE),0)),15-11*$X$5)</f>
        <v>0.27639999999999998</v>
      </c>
      <c r="AA113" s="4"/>
    </row>
    <row r="114" spans="1:27" x14ac:dyDescent="0.2">
      <c r="A114" t="str">
        <f t="shared" ref="A114:A166" si="17">CHOOSE(1+LOG(1+2*(J114="Meta")+4*(J114="Nível 2")+8*(J114="Nível 3")+16*(J114="Nível 4")+32*(J114="Serviço"),2),0,1,2,3,4,"S")</f>
        <v>S</v>
      </c>
      <c r="B114">
        <f t="shared" ref="B114:B166" si="18">IF(OR(A114="S",A114=0),0,IF(ISERROR(I114),H114,SMALL(H114:I114,1)))</f>
        <v>0</v>
      </c>
      <c r="C114">
        <f t="shared" ref="C114:C166" ca="1" si="19">IF($A114=1,OFFSET(C114,-1,0)+1,OFFSET(C114,-1,0))</f>
        <v>1</v>
      </c>
      <c r="D114">
        <f t="shared" ref="D114:D166" ca="1" si="20">IF($A114=1,0,IF($A114=2,OFFSET(D114,-1,0)+1,OFFSET(D114,-1,0)))</f>
        <v>12</v>
      </c>
      <c r="E114">
        <f t="shared" ref="E114:E166" ca="1" si="21">IF(AND($A114&lt;=2,$A114&lt;&gt;0),0,IF($A114=3,OFFSET(E114,-1,0)+1,OFFSET(E114,-1,0)))</f>
        <v>1</v>
      </c>
      <c r="F114">
        <f t="shared" ref="F114:F166" ca="1" si="22">IF(AND($A114&lt;=3,$A114&lt;&gt;0),0,IF($A114=4,OFFSET(F114,-1,0)+1,OFFSET(F114,-1,0)))</f>
        <v>0</v>
      </c>
      <c r="G114">
        <f t="shared" ref="G114:G166" ca="1" si="23">IF(AND($A114&lt;=4,$A114&lt;&gt;0),0,IF($A114="S",OFFSET(G114,-1,0)+1,OFFSET(G114,-1,0)))</f>
        <v>4</v>
      </c>
      <c r="H114">
        <f t="shared" ca="1" si="15"/>
        <v>0</v>
      </c>
      <c r="I114">
        <f t="shared" ca="1" si="16"/>
        <v>0</v>
      </c>
      <c r="J114" s="394" t="s">
        <v>103</v>
      </c>
      <c r="K114" s="162" t="str">
        <f t="shared" ref="K114:K166" ca="1" si="24">IF($A114=0,"-",CONCATENATE(C114&amp;".",IF(AND($A$5&gt;=2,$A114&gt;=2),D114&amp;".",""),IF(AND($A$5&gt;=3,$A114&gt;=3),E114&amp;".",""),IF(AND($A$5&gt;=4,$A114&gt;=4),F114&amp;".",""),IF($A114="S",G114&amp;".","")))</f>
        <v>1.12.1.0.4.</v>
      </c>
      <c r="L114" s="395" t="s">
        <v>236</v>
      </c>
      <c r="M114" s="395" t="s">
        <v>415</v>
      </c>
      <c r="N114" s="397" t="s">
        <v>416</v>
      </c>
      <c r="O114" s="398" t="s">
        <v>275</v>
      </c>
      <c r="P114" s="399">
        <v>2</v>
      </c>
      <c r="Q114" s="228"/>
      <c r="R114" s="231" t="s">
        <v>7</v>
      </c>
      <c r="S114" s="121">
        <f t="shared" ref="S114:S145" si="25">IF($A114="S",IF($Q$10="Preço Unitário (R$)",PO.CustoUnitario,ROUND(PO.CustoUnitario*(1+$Z114),15-13*$X$6)),0)</f>
        <v>0</v>
      </c>
      <c r="T114" s="98">
        <f t="shared" ref="T114:T145" si="26">IF($A114="S",VTOTAL1,IF($A114=0,0,ROUND(SomaAgrup,15-13*$X$7)))</f>
        <v>0</v>
      </c>
      <c r="U114" s="13" t="str">
        <f t="shared" ref="U114:U166" si="27">IF($J114="","",IF($N114="","DESCRIÇÃO",IF(AND($J114="Serviço",$O114=""),"UNIDADE",IF($T114&lt;=0,"SEM VALOR",IF(AND($Y114&lt;&gt;"",$Q114&gt;$Y114),"ACIMA REF.","")))))</f>
        <v>SEM VALOR</v>
      </c>
      <c r="V114" s="4" t="str">
        <f ca="1">IF(OR($A114=0,$A114="S",$A114&gt;CFF!$A$9),"",MAX(V$12:OFFSET(V114,-1,0))+1)</f>
        <v/>
      </c>
      <c r="W114" s="9" t="str">
        <f t="shared" ref="W114:W166" si="28">IF(AND($J114="Serviço",$M114&lt;&gt;""),IF($L114="",$M114,CONCATENATE($L114,"-",$M114)))</f>
        <v>SEE/MG-110004</v>
      </c>
      <c r="X114" s="4" t="e">
        <f t="shared" ref="X114:X145" ca="1" si="29">IF(AND(Fonte&lt;&gt;"",Código&lt;&gt;""),MATCH(Fonte&amp;" "&amp;IF(Fonte="sinapi",SUBSTITUTE(SUBSTITUTE(Código,"/00","/"),"/0","/"),Código),INDIRECT("'[Referência "&amp;_xlnm.Database&amp;".xls]Banco'!$a:$a"),0),"X")</f>
        <v>#REF!</v>
      </c>
      <c r="Y114" s="121">
        <v>91.007320000000007</v>
      </c>
      <c r="Z114" s="132">
        <f ca="1">ROUND(IF(ISNUMBER(R114),R114,IF(LEFT(R114,3)="BDI",HLOOKUP(R114,DADOS!$T$37:$X$38,2,FALSE),0)),15-11*$X$5)</f>
        <v>0.27639999999999998</v>
      </c>
      <c r="AA114" s="4"/>
    </row>
    <row r="115" spans="1:27" x14ac:dyDescent="0.2">
      <c r="A115" t="str">
        <f t="shared" si="17"/>
        <v>S</v>
      </c>
      <c r="B115">
        <f t="shared" si="18"/>
        <v>0</v>
      </c>
      <c r="C115">
        <f t="shared" ca="1" si="19"/>
        <v>1</v>
      </c>
      <c r="D115">
        <f t="shared" ca="1" si="20"/>
        <v>12</v>
      </c>
      <c r="E115">
        <f t="shared" ca="1" si="21"/>
        <v>1</v>
      </c>
      <c r="F115">
        <f t="shared" ca="1" si="22"/>
        <v>0</v>
      </c>
      <c r="G115">
        <f t="shared" ca="1" si="23"/>
        <v>5</v>
      </c>
      <c r="H115">
        <f t="shared" ca="1" si="15"/>
        <v>0</v>
      </c>
      <c r="I115">
        <f t="shared" ca="1" si="16"/>
        <v>0</v>
      </c>
      <c r="J115" s="394" t="s">
        <v>103</v>
      </c>
      <c r="K115" s="162" t="str">
        <f t="shared" ca="1" si="24"/>
        <v>1.12.1.0.5.</v>
      </c>
      <c r="L115" s="395" t="s">
        <v>236</v>
      </c>
      <c r="M115" s="395" t="s">
        <v>417</v>
      </c>
      <c r="N115" s="397" t="s">
        <v>418</v>
      </c>
      <c r="O115" s="398" t="s">
        <v>336</v>
      </c>
      <c r="P115" s="399">
        <v>4</v>
      </c>
      <c r="Q115" s="228"/>
      <c r="R115" s="231" t="s">
        <v>7</v>
      </c>
      <c r="S115" s="121">
        <f t="shared" si="25"/>
        <v>0</v>
      </c>
      <c r="T115" s="98">
        <f t="shared" si="26"/>
        <v>0</v>
      </c>
      <c r="U115" s="13" t="str">
        <f t="shared" si="27"/>
        <v>SEM VALOR</v>
      </c>
      <c r="V115" s="4" t="str">
        <f ca="1">IF(OR($A115=0,$A115="S",$A115&gt;CFF!$A$9),"",MAX(V$12:OFFSET(V115,-1,0))+1)</f>
        <v/>
      </c>
      <c r="W115" s="9" t="str">
        <f t="shared" si="28"/>
        <v>SEE/MG-110005</v>
      </c>
      <c r="X115" s="4" t="e">
        <f t="shared" ca="1" si="29"/>
        <v>#REF!</v>
      </c>
      <c r="Y115" s="121">
        <v>73.699336000000002</v>
      </c>
      <c r="Z115" s="132">
        <f ca="1">ROUND(IF(ISNUMBER(R115),R115,IF(LEFT(R115,3)="BDI",HLOOKUP(R115,DADOS!$T$37:$X$38,2,FALSE),0)),15-11*$X$5)</f>
        <v>0.27639999999999998</v>
      </c>
      <c r="AA115" s="4"/>
    </row>
    <row r="116" spans="1:27" x14ac:dyDescent="0.2">
      <c r="A116" t="str">
        <f t="shared" si="17"/>
        <v>S</v>
      </c>
      <c r="B116">
        <f t="shared" si="18"/>
        <v>0</v>
      </c>
      <c r="C116">
        <f t="shared" ca="1" si="19"/>
        <v>1</v>
      </c>
      <c r="D116">
        <f t="shared" ca="1" si="20"/>
        <v>12</v>
      </c>
      <c r="E116">
        <f t="shared" ca="1" si="21"/>
        <v>1</v>
      </c>
      <c r="F116">
        <f t="shared" ca="1" si="22"/>
        <v>0</v>
      </c>
      <c r="G116">
        <f t="shared" ca="1" si="23"/>
        <v>6</v>
      </c>
      <c r="H116">
        <f t="shared" ca="1" si="15"/>
        <v>0</v>
      </c>
      <c r="I116">
        <f t="shared" ca="1" si="16"/>
        <v>0</v>
      </c>
      <c r="J116" s="394" t="s">
        <v>103</v>
      </c>
      <c r="K116" s="162" t="str">
        <f t="shared" ca="1" si="24"/>
        <v>1.12.1.0.6.</v>
      </c>
      <c r="L116" s="395" t="s">
        <v>236</v>
      </c>
      <c r="M116" s="395" t="s">
        <v>419</v>
      </c>
      <c r="N116" s="397" t="s">
        <v>420</v>
      </c>
      <c r="O116" s="398" t="s">
        <v>336</v>
      </c>
      <c r="P116" s="399">
        <v>4</v>
      </c>
      <c r="Q116" s="228"/>
      <c r="R116" s="231" t="s">
        <v>7</v>
      </c>
      <c r="S116" s="121">
        <f t="shared" si="25"/>
        <v>0</v>
      </c>
      <c r="T116" s="98">
        <f t="shared" si="26"/>
        <v>0</v>
      </c>
      <c r="U116" s="13" t="str">
        <f t="shared" si="27"/>
        <v>SEM VALOR</v>
      </c>
      <c r="V116" s="4" t="str">
        <f ca="1">IF(OR($A116=0,$A116="S",$A116&gt;CFF!$A$9),"",MAX(V$12:OFFSET(V116,-1,0))+1)</f>
        <v/>
      </c>
      <c r="W116" s="9" t="str">
        <f t="shared" si="28"/>
        <v>SEE/MG-110006</v>
      </c>
      <c r="X116" s="4" t="e">
        <f t="shared" ca="1" si="29"/>
        <v>#REF!</v>
      </c>
      <c r="Y116" s="121">
        <v>26.498063999999999</v>
      </c>
      <c r="Z116" s="132">
        <f ca="1">ROUND(IF(ISNUMBER(R116),R116,IF(LEFT(R116,3)="BDI",HLOOKUP(R116,DADOS!$T$37:$X$38,2,FALSE),0)),15-11*$X$5)</f>
        <v>0.27639999999999998</v>
      </c>
      <c r="AA116" s="4"/>
    </row>
    <row r="117" spans="1:27" ht="25.5" x14ac:dyDescent="0.2">
      <c r="A117" t="str">
        <f t="shared" si="17"/>
        <v>S</v>
      </c>
      <c r="B117">
        <f t="shared" si="18"/>
        <v>0</v>
      </c>
      <c r="C117">
        <f t="shared" ca="1" si="19"/>
        <v>1</v>
      </c>
      <c r="D117">
        <f t="shared" ca="1" si="20"/>
        <v>12</v>
      </c>
      <c r="E117">
        <f t="shared" ca="1" si="21"/>
        <v>1</v>
      </c>
      <c r="F117">
        <f t="shared" ca="1" si="22"/>
        <v>0</v>
      </c>
      <c r="G117">
        <f t="shared" ca="1" si="23"/>
        <v>7</v>
      </c>
      <c r="H117">
        <f t="shared" ca="1" si="15"/>
        <v>0</v>
      </c>
      <c r="I117">
        <f t="shared" ca="1" si="16"/>
        <v>0</v>
      </c>
      <c r="J117" s="394" t="s">
        <v>103</v>
      </c>
      <c r="K117" s="162" t="str">
        <f t="shared" ca="1" si="24"/>
        <v>1.12.1.0.7.</v>
      </c>
      <c r="L117" s="395" t="s">
        <v>236</v>
      </c>
      <c r="M117" s="395" t="s">
        <v>421</v>
      </c>
      <c r="N117" s="397" t="s">
        <v>422</v>
      </c>
      <c r="O117" s="398" t="s">
        <v>336</v>
      </c>
      <c r="P117" s="399">
        <v>10</v>
      </c>
      <c r="Q117" s="228"/>
      <c r="R117" s="231" t="s">
        <v>7</v>
      </c>
      <c r="S117" s="121">
        <f t="shared" si="25"/>
        <v>0</v>
      </c>
      <c r="T117" s="98">
        <f t="shared" si="26"/>
        <v>0</v>
      </c>
      <c r="U117" s="13" t="str">
        <f t="shared" si="27"/>
        <v>SEM VALOR</v>
      </c>
      <c r="V117" s="4" t="str">
        <f ca="1">IF(OR($A117=0,$A117="S",$A117&gt;CFF!$A$9),"",MAX(V$12:OFFSET(V117,-1,0))+1)</f>
        <v/>
      </c>
      <c r="W117" s="9" t="str">
        <f t="shared" si="28"/>
        <v>SEE/MG-110007</v>
      </c>
      <c r="X117" s="4" t="e">
        <f t="shared" ca="1" si="29"/>
        <v>#REF!</v>
      </c>
      <c r="Y117" s="121">
        <v>426.56011599999999</v>
      </c>
      <c r="Z117" s="132">
        <f ca="1">ROUND(IF(ISNUMBER(R117),R117,IF(LEFT(R117,3)="BDI",HLOOKUP(R117,DADOS!$T$37:$X$38,2,FALSE),0)),15-11*$X$5)</f>
        <v>0.27639999999999998</v>
      </c>
      <c r="AA117" s="4"/>
    </row>
    <row r="118" spans="1:27" x14ac:dyDescent="0.2">
      <c r="A118" t="str">
        <f t="shared" si="17"/>
        <v>S</v>
      </c>
      <c r="B118">
        <f t="shared" si="18"/>
        <v>0</v>
      </c>
      <c r="C118">
        <f t="shared" ca="1" si="19"/>
        <v>1</v>
      </c>
      <c r="D118">
        <f t="shared" ca="1" si="20"/>
        <v>12</v>
      </c>
      <c r="E118">
        <f t="shared" ca="1" si="21"/>
        <v>1</v>
      </c>
      <c r="F118">
        <f t="shared" ca="1" si="22"/>
        <v>0</v>
      </c>
      <c r="G118">
        <f t="shared" ca="1" si="23"/>
        <v>8</v>
      </c>
      <c r="H118">
        <f t="shared" ca="1" si="15"/>
        <v>0</v>
      </c>
      <c r="I118">
        <f t="shared" ca="1" si="16"/>
        <v>0</v>
      </c>
      <c r="J118" s="394" t="s">
        <v>103</v>
      </c>
      <c r="K118" s="162" t="str">
        <f t="shared" ca="1" si="24"/>
        <v>1.12.1.0.8.</v>
      </c>
      <c r="L118" s="395" t="s">
        <v>236</v>
      </c>
      <c r="M118" s="395" t="s">
        <v>423</v>
      </c>
      <c r="N118" s="397" t="s">
        <v>424</v>
      </c>
      <c r="O118" s="398" t="s">
        <v>336</v>
      </c>
      <c r="P118" s="399">
        <v>1</v>
      </c>
      <c r="Q118" s="228"/>
      <c r="R118" s="231" t="s">
        <v>7</v>
      </c>
      <c r="S118" s="121">
        <f t="shared" si="25"/>
        <v>0</v>
      </c>
      <c r="T118" s="98">
        <f t="shared" si="26"/>
        <v>0</v>
      </c>
      <c r="U118" s="13" t="str">
        <f t="shared" si="27"/>
        <v>SEM VALOR</v>
      </c>
      <c r="V118" s="4" t="str">
        <f ca="1">IF(OR($A118=0,$A118="S",$A118&gt;CFF!$A$9),"",MAX(V$12:OFFSET(V118,-1,0))+1)</f>
        <v/>
      </c>
      <c r="W118" s="9" t="str">
        <f t="shared" si="28"/>
        <v>SEE/MG-110008</v>
      </c>
      <c r="X118" s="4" t="e">
        <f t="shared" ca="1" si="29"/>
        <v>#REF!</v>
      </c>
      <c r="Y118" s="121">
        <v>123.261948</v>
      </c>
      <c r="Z118" s="132">
        <f ca="1">ROUND(IF(ISNUMBER(R118),R118,IF(LEFT(R118,3)="BDI",HLOOKUP(R118,DADOS!$T$37:$X$38,2,FALSE),0)),15-11*$X$5)</f>
        <v>0.27639999999999998</v>
      </c>
      <c r="AA118" s="4"/>
    </row>
    <row r="119" spans="1:27" x14ac:dyDescent="0.2">
      <c r="A119">
        <f t="shared" si="17"/>
        <v>3</v>
      </c>
      <c r="B119">
        <f t="shared" ca="1" si="18"/>
        <v>6</v>
      </c>
      <c r="C119">
        <f t="shared" ca="1" si="19"/>
        <v>1</v>
      </c>
      <c r="D119">
        <f t="shared" ca="1" si="20"/>
        <v>12</v>
      </c>
      <c r="E119">
        <f t="shared" ca="1" si="21"/>
        <v>2</v>
      </c>
      <c r="F119">
        <f t="shared" ca="1" si="22"/>
        <v>0</v>
      </c>
      <c r="G119">
        <f t="shared" ca="1" si="23"/>
        <v>0</v>
      </c>
      <c r="H119">
        <f t="shared" ca="1" si="15"/>
        <v>6</v>
      </c>
      <c r="I119">
        <f t="shared" ca="1" si="16"/>
        <v>44</v>
      </c>
      <c r="J119" s="394" t="s">
        <v>101</v>
      </c>
      <c r="K119" s="162" t="str">
        <f t="shared" ca="1" si="24"/>
        <v>1.12.2.</v>
      </c>
      <c r="L119" s="395"/>
      <c r="M119" s="395"/>
      <c r="N119" s="397" t="s">
        <v>425</v>
      </c>
      <c r="O119" s="398"/>
      <c r="P119" s="399"/>
      <c r="Q119" s="228"/>
      <c r="R119" s="231" t="s">
        <v>7</v>
      </c>
      <c r="S119" s="121">
        <f t="shared" si="25"/>
        <v>0</v>
      </c>
      <c r="T119" s="98">
        <f t="shared" ca="1" si="26"/>
        <v>0</v>
      </c>
      <c r="U119" s="13" t="str">
        <f t="shared" ca="1" si="27"/>
        <v>SEM VALOR</v>
      </c>
      <c r="V119" s="4" t="str">
        <f ca="1">IF(OR($A119=0,$A119="S",$A119&gt;CFF!$A$9),"",MAX(V$12:OFFSET(V119,-1,0))+1)</f>
        <v/>
      </c>
      <c r="W119" s="9" t="b">
        <f t="shared" si="28"/>
        <v>0</v>
      </c>
      <c r="X119" s="4" t="str">
        <f t="shared" ca="1" si="29"/>
        <v>X</v>
      </c>
      <c r="Y119" s="121">
        <v>0</v>
      </c>
      <c r="Z119" s="132">
        <f ca="1">ROUND(IF(ISNUMBER(R119),R119,IF(LEFT(R119,3)="BDI",HLOOKUP(R119,DADOS!$T$37:$X$38,2,FALSE),0)),15-11*$X$5)</f>
        <v>0.27639999999999998</v>
      </c>
      <c r="AA119" s="4"/>
    </row>
    <row r="120" spans="1:27" x14ac:dyDescent="0.2">
      <c r="A120" t="str">
        <f t="shared" si="17"/>
        <v>S</v>
      </c>
      <c r="B120">
        <f t="shared" si="18"/>
        <v>0</v>
      </c>
      <c r="C120">
        <f t="shared" ca="1" si="19"/>
        <v>1</v>
      </c>
      <c r="D120">
        <f t="shared" ca="1" si="20"/>
        <v>12</v>
      </c>
      <c r="E120">
        <f t="shared" ca="1" si="21"/>
        <v>2</v>
      </c>
      <c r="F120">
        <f t="shared" ca="1" si="22"/>
        <v>0</v>
      </c>
      <c r="G120">
        <f t="shared" ca="1" si="23"/>
        <v>1</v>
      </c>
      <c r="H120">
        <f t="shared" ca="1" si="15"/>
        <v>0</v>
      </c>
      <c r="I120">
        <f t="shared" ca="1" si="16"/>
        <v>0</v>
      </c>
      <c r="J120" s="394" t="s">
        <v>103</v>
      </c>
      <c r="K120" s="162" t="str">
        <f t="shared" ca="1" si="24"/>
        <v>1.12.2.0.1.</v>
      </c>
      <c r="L120" s="395" t="s">
        <v>236</v>
      </c>
      <c r="M120" s="395" t="s">
        <v>426</v>
      </c>
      <c r="N120" s="397" t="s">
        <v>427</v>
      </c>
      <c r="O120" s="398" t="s">
        <v>336</v>
      </c>
      <c r="P120" s="399">
        <v>1</v>
      </c>
      <c r="Q120" s="228"/>
      <c r="R120" s="231" t="s">
        <v>7</v>
      </c>
      <c r="S120" s="121">
        <f t="shared" si="25"/>
        <v>0</v>
      </c>
      <c r="T120" s="98">
        <f t="shared" si="26"/>
        <v>0</v>
      </c>
      <c r="U120" s="13" t="str">
        <f t="shared" si="27"/>
        <v>SEM VALOR</v>
      </c>
      <c r="V120" s="4" t="str">
        <f ca="1">IF(OR($A120=0,$A120="S",$A120&gt;CFF!$A$9),"",MAX(V$12:OFFSET(V120,-1,0))+1)</f>
        <v/>
      </c>
      <c r="W120" s="9" t="str">
        <f t="shared" si="28"/>
        <v>SEE/MG-110009</v>
      </c>
      <c r="X120" s="4" t="e">
        <f t="shared" ca="1" si="29"/>
        <v>#REF!</v>
      </c>
      <c r="Y120" s="121">
        <v>12109.717360000001</v>
      </c>
      <c r="Z120" s="132">
        <f ca="1">ROUND(IF(ISNUMBER(R120),R120,IF(LEFT(R120,3)="BDI",HLOOKUP(R120,DADOS!$T$37:$X$38,2,FALSE),0)),15-11*$X$5)</f>
        <v>0.27639999999999998</v>
      </c>
      <c r="AA120" s="4"/>
    </row>
    <row r="121" spans="1:27" x14ac:dyDescent="0.2">
      <c r="A121" t="str">
        <f t="shared" si="17"/>
        <v>S</v>
      </c>
      <c r="B121">
        <f t="shared" si="18"/>
        <v>0</v>
      </c>
      <c r="C121">
        <f t="shared" ca="1" si="19"/>
        <v>1</v>
      </c>
      <c r="D121">
        <f t="shared" ca="1" si="20"/>
        <v>12</v>
      </c>
      <c r="E121">
        <f t="shared" ca="1" si="21"/>
        <v>2</v>
      </c>
      <c r="F121">
        <f t="shared" ca="1" si="22"/>
        <v>0</v>
      </c>
      <c r="G121">
        <f t="shared" ca="1" si="23"/>
        <v>2</v>
      </c>
      <c r="H121">
        <f t="shared" ca="1" si="15"/>
        <v>0</v>
      </c>
      <c r="I121">
        <f t="shared" ca="1" si="16"/>
        <v>0</v>
      </c>
      <c r="J121" s="394" t="s">
        <v>103</v>
      </c>
      <c r="K121" s="162" t="str">
        <f t="shared" ca="1" si="24"/>
        <v>1.12.2.0.2.</v>
      </c>
      <c r="L121" s="395" t="s">
        <v>236</v>
      </c>
      <c r="M121" s="395" t="s">
        <v>428</v>
      </c>
      <c r="N121" s="397" t="s">
        <v>429</v>
      </c>
      <c r="O121" s="398" t="s">
        <v>260</v>
      </c>
      <c r="P121" s="399">
        <v>1</v>
      </c>
      <c r="Q121" s="228"/>
      <c r="R121" s="231" t="s">
        <v>7</v>
      </c>
      <c r="S121" s="121">
        <f t="shared" si="25"/>
        <v>0</v>
      </c>
      <c r="T121" s="98">
        <f t="shared" si="26"/>
        <v>0</v>
      </c>
      <c r="U121" s="13" t="str">
        <f t="shared" si="27"/>
        <v>SEM VALOR</v>
      </c>
      <c r="V121" s="4" t="str">
        <f ca="1">IF(OR($A121=0,$A121="S",$A121&gt;CFF!$A$9),"",MAX(V$12:OFFSET(V121,-1,0))+1)</f>
        <v/>
      </c>
      <c r="W121" s="9" t="str">
        <f t="shared" si="28"/>
        <v>SEE/MG-110010</v>
      </c>
      <c r="X121" s="4" t="e">
        <f t="shared" ca="1" si="29"/>
        <v>#REF!</v>
      </c>
      <c r="Y121" s="121">
        <v>1958.916608</v>
      </c>
      <c r="Z121" s="132">
        <f ca="1">ROUND(IF(ISNUMBER(R121),R121,IF(LEFT(R121,3)="BDI",HLOOKUP(R121,DADOS!$T$37:$X$38,2,FALSE),0)),15-11*$X$5)</f>
        <v>0.27639999999999998</v>
      </c>
      <c r="AA121" s="4"/>
    </row>
    <row r="122" spans="1:27" x14ac:dyDescent="0.2">
      <c r="A122" t="str">
        <f t="shared" si="17"/>
        <v>S</v>
      </c>
      <c r="B122">
        <f t="shared" si="18"/>
        <v>0</v>
      </c>
      <c r="C122">
        <f t="shared" ca="1" si="19"/>
        <v>1</v>
      </c>
      <c r="D122">
        <f t="shared" ca="1" si="20"/>
        <v>12</v>
      </c>
      <c r="E122">
        <f t="shared" ca="1" si="21"/>
        <v>2</v>
      </c>
      <c r="F122">
        <f t="shared" ca="1" si="22"/>
        <v>0</v>
      </c>
      <c r="G122">
        <f t="shared" ca="1" si="23"/>
        <v>3</v>
      </c>
      <c r="H122">
        <f t="shared" ca="1" si="15"/>
        <v>0</v>
      </c>
      <c r="I122">
        <f t="shared" ca="1" si="16"/>
        <v>0</v>
      </c>
      <c r="J122" s="394" t="s">
        <v>103</v>
      </c>
      <c r="K122" s="162" t="str">
        <f t="shared" ca="1" si="24"/>
        <v>1.12.2.0.3.</v>
      </c>
      <c r="L122" s="395" t="s">
        <v>236</v>
      </c>
      <c r="M122" s="395" t="s">
        <v>430</v>
      </c>
      <c r="N122" s="397" t="s">
        <v>431</v>
      </c>
      <c r="O122" s="398" t="s">
        <v>336</v>
      </c>
      <c r="P122" s="399">
        <v>4</v>
      </c>
      <c r="Q122" s="228"/>
      <c r="R122" s="231" t="s">
        <v>7</v>
      </c>
      <c r="S122" s="121">
        <f t="shared" si="25"/>
        <v>0</v>
      </c>
      <c r="T122" s="98">
        <f t="shared" si="26"/>
        <v>0</v>
      </c>
      <c r="U122" s="13" t="str">
        <f t="shared" si="27"/>
        <v>SEM VALOR</v>
      </c>
      <c r="V122" s="4" t="str">
        <f ca="1">IF(OR($A122=0,$A122="S",$A122&gt;CFF!$A$9),"",MAX(V$12:OFFSET(V122,-1,0))+1)</f>
        <v/>
      </c>
      <c r="W122" s="9" t="str">
        <f t="shared" si="28"/>
        <v>SEE/MG-110011</v>
      </c>
      <c r="X122" s="4" t="e">
        <f t="shared" ca="1" si="29"/>
        <v>#REF!</v>
      </c>
      <c r="Y122" s="121">
        <v>2891.186404</v>
      </c>
      <c r="Z122" s="132">
        <f ca="1">ROUND(IF(ISNUMBER(R122),R122,IF(LEFT(R122,3)="BDI",HLOOKUP(R122,DADOS!$T$37:$X$38,2,FALSE),0)),15-11*$X$5)</f>
        <v>0.27639999999999998</v>
      </c>
      <c r="AA122" s="4"/>
    </row>
    <row r="123" spans="1:27" x14ac:dyDescent="0.2">
      <c r="A123" t="str">
        <f t="shared" si="17"/>
        <v>S</v>
      </c>
      <c r="B123">
        <f t="shared" si="18"/>
        <v>0</v>
      </c>
      <c r="C123">
        <f t="shared" ca="1" si="19"/>
        <v>1</v>
      </c>
      <c r="D123">
        <f t="shared" ca="1" si="20"/>
        <v>12</v>
      </c>
      <c r="E123">
        <f t="shared" ca="1" si="21"/>
        <v>2</v>
      </c>
      <c r="F123">
        <f t="shared" ca="1" si="22"/>
        <v>0</v>
      </c>
      <c r="G123">
        <f t="shared" ca="1" si="23"/>
        <v>4</v>
      </c>
      <c r="H123">
        <f t="shared" ca="1" si="15"/>
        <v>0</v>
      </c>
      <c r="I123">
        <f t="shared" ca="1" si="16"/>
        <v>0</v>
      </c>
      <c r="J123" s="394" t="s">
        <v>103</v>
      </c>
      <c r="K123" s="162" t="str">
        <f t="shared" ca="1" si="24"/>
        <v>1.12.2.0.4.</v>
      </c>
      <c r="L123" s="395" t="s">
        <v>236</v>
      </c>
      <c r="M123" s="395" t="s">
        <v>432</v>
      </c>
      <c r="N123" s="397" t="s">
        <v>433</v>
      </c>
      <c r="O123" s="398" t="s">
        <v>275</v>
      </c>
      <c r="P123" s="399">
        <v>8.42</v>
      </c>
      <c r="Q123" s="228"/>
      <c r="R123" s="231" t="s">
        <v>7</v>
      </c>
      <c r="S123" s="121">
        <f t="shared" si="25"/>
        <v>0</v>
      </c>
      <c r="T123" s="98">
        <f t="shared" si="26"/>
        <v>0</v>
      </c>
      <c r="U123" s="13" t="str">
        <f t="shared" si="27"/>
        <v>SEM VALOR</v>
      </c>
      <c r="V123" s="4" t="str">
        <f ca="1">IF(OR($A123=0,$A123="S",$A123&gt;CFF!$A$9),"",MAX(V$12:OFFSET(V123,-1,0))+1)</f>
        <v/>
      </c>
      <c r="W123" s="9" t="str">
        <f t="shared" si="28"/>
        <v>SEE/MG-110012</v>
      </c>
      <c r="X123" s="4" t="e">
        <f t="shared" ca="1" si="29"/>
        <v>#REF!</v>
      </c>
      <c r="Y123" s="121">
        <v>67.062055999999998</v>
      </c>
      <c r="Z123" s="132">
        <f ca="1">ROUND(IF(ISNUMBER(R123),R123,IF(LEFT(R123,3)="BDI",HLOOKUP(R123,DADOS!$T$37:$X$38,2,FALSE),0)),15-11*$X$5)</f>
        <v>0.27639999999999998</v>
      </c>
      <c r="AA123" s="4"/>
    </row>
    <row r="124" spans="1:27" x14ac:dyDescent="0.2">
      <c r="A124" t="str">
        <f t="shared" si="17"/>
        <v>S</v>
      </c>
      <c r="B124">
        <f t="shared" si="18"/>
        <v>0</v>
      </c>
      <c r="C124">
        <f t="shared" ca="1" si="19"/>
        <v>1</v>
      </c>
      <c r="D124">
        <f t="shared" ca="1" si="20"/>
        <v>12</v>
      </c>
      <c r="E124">
        <f t="shared" ca="1" si="21"/>
        <v>2</v>
      </c>
      <c r="F124">
        <f t="shared" ca="1" si="22"/>
        <v>0</v>
      </c>
      <c r="G124">
        <f t="shared" ca="1" si="23"/>
        <v>5</v>
      </c>
      <c r="H124">
        <f t="shared" ca="1" si="15"/>
        <v>0</v>
      </c>
      <c r="I124">
        <f t="shared" ca="1" si="16"/>
        <v>0</v>
      </c>
      <c r="J124" s="394" t="s">
        <v>103</v>
      </c>
      <c r="K124" s="162" t="str">
        <f t="shared" ca="1" si="24"/>
        <v>1.12.2.0.5.</v>
      </c>
      <c r="L124" s="395" t="s">
        <v>236</v>
      </c>
      <c r="M124" s="395" t="s">
        <v>434</v>
      </c>
      <c r="N124" s="397" t="s">
        <v>435</v>
      </c>
      <c r="O124" s="398" t="s">
        <v>275</v>
      </c>
      <c r="P124" s="399">
        <v>8.42</v>
      </c>
      <c r="Q124" s="228"/>
      <c r="R124" s="231" t="s">
        <v>7</v>
      </c>
      <c r="S124" s="121">
        <f t="shared" si="25"/>
        <v>0</v>
      </c>
      <c r="T124" s="98">
        <f t="shared" si="26"/>
        <v>0</v>
      </c>
      <c r="U124" s="13" t="str">
        <f t="shared" si="27"/>
        <v>SEM VALOR</v>
      </c>
      <c r="V124" s="4" t="str">
        <f ca="1">IF(OR($A124=0,$A124="S",$A124&gt;CFF!$A$9),"",MAX(V$12:OFFSET(V124,-1,0))+1)</f>
        <v/>
      </c>
      <c r="W124" s="9" t="str">
        <f t="shared" si="28"/>
        <v>SEE/MG-110013</v>
      </c>
      <c r="X124" s="4" t="e">
        <f t="shared" ca="1" si="29"/>
        <v>#REF!</v>
      </c>
      <c r="Y124" s="121">
        <v>133.05193600000001</v>
      </c>
      <c r="Z124" s="132">
        <f ca="1">ROUND(IF(ISNUMBER(R124),R124,IF(LEFT(R124,3)="BDI",HLOOKUP(R124,DADOS!$T$37:$X$38,2,FALSE),0)),15-11*$X$5)</f>
        <v>0.27639999999999998</v>
      </c>
      <c r="AA124" s="4"/>
    </row>
    <row r="125" spans="1:27" x14ac:dyDescent="0.2">
      <c r="A125">
        <f t="shared" si="17"/>
        <v>2</v>
      </c>
      <c r="B125">
        <f t="shared" ca="1" si="18"/>
        <v>17</v>
      </c>
      <c r="C125">
        <f t="shared" ca="1" si="19"/>
        <v>1</v>
      </c>
      <c r="D125">
        <f t="shared" ca="1" si="20"/>
        <v>13</v>
      </c>
      <c r="E125">
        <f t="shared" ca="1" si="21"/>
        <v>0</v>
      </c>
      <c r="F125">
        <f t="shared" ca="1" si="22"/>
        <v>0</v>
      </c>
      <c r="G125">
        <f t="shared" ca="1" si="23"/>
        <v>0</v>
      </c>
      <c r="H125">
        <f t="shared" ca="1" si="15"/>
        <v>102</v>
      </c>
      <c r="I125">
        <f t="shared" ca="1" si="16"/>
        <v>17</v>
      </c>
      <c r="J125" s="394" t="s">
        <v>100</v>
      </c>
      <c r="K125" s="162" t="str">
        <f t="shared" ca="1" si="24"/>
        <v>1.13.</v>
      </c>
      <c r="L125" s="395"/>
      <c r="M125" s="395"/>
      <c r="N125" s="397" t="s">
        <v>436</v>
      </c>
      <c r="O125" s="398"/>
      <c r="P125" s="399"/>
      <c r="Q125" s="228"/>
      <c r="R125" s="231" t="s">
        <v>7</v>
      </c>
      <c r="S125" s="121">
        <f t="shared" si="25"/>
        <v>0</v>
      </c>
      <c r="T125" s="98">
        <f t="shared" ca="1" si="26"/>
        <v>0</v>
      </c>
      <c r="U125" s="13" t="str">
        <f t="shared" ca="1" si="27"/>
        <v>SEM VALOR</v>
      </c>
      <c r="V125" s="4">
        <f ca="1">IF(OR($A125=0,$A125="S",$A125&gt;CFF!$A$9),"",MAX(V$12:OFFSET(V125,-1,0))+1)</f>
        <v>14</v>
      </c>
      <c r="W125" s="9" t="b">
        <f t="shared" si="28"/>
        <v>0</v>
      </c>
      <c r="X125" s="4" t="str">
        <f t="shared" ca="1" si="29"/>
        <v>X</v>
      </c>
      <c r="Y125" s="121">
        <v>0</v>
      </c>
      <c r="Z125" s="132">
        <f ca="1">ROUND(IF(ISNUMBER(R125),R125,IF(LEFT(R125,3)="BDI",HLOOKUP(R125,DADOS!$T$37:$X$38,2,FALSE),0)),15-11*$X$5)</f>
        <v>0.27639999999999998</v>
      </c>
      <c r="AA125" s="4"/>
    </row>
    <row r="126" spans="1:27" x14ac:dyDescent="0.2">
      <c r="A126" t="str">
        <f t="shared" si="17"/>
        <v>S</v>
      </c>
      <c r="B126">
        <f t="shared" si="18"/>
        <v>0</v>
      </c>
      <c r="C126">
        <f t="shared" ca="1" si="19"/>
        <v>1</v>
      </c>
      <c r="D126">
        <f t="shared" ca="1" si="20"/>
        <v>13</v>
      </c>
      <c r="E126">
        <f t="shared" ca="1" si="21"/>
        <v>0</v>
      </c>
      <c r="F126">
        <f t="shared" ca="1" si="22"/>
        <v>0</v>
      </c>
      <c r="G126">
        <f t="shared" ca="1" si="23"/>
        <v>1</v>
      </c>
      <c r="H126">
        <f t="shared" ca="1" si="15"/>
        <v>0</v>
      </c>
      <c r="I126">
        <f t="shared" ca="1" si="16"/>
        <v>0</v>
      </c>
      <c r="J126" s="394" t="s">
        <v>103</v>
      </c>
      <c r="K126" s="162" t="str">
        <f t="shared" ca="1" si="24"/>
        <v>1.13.0.0.1.</v>
      </c>
      <c r="L126" s="395" t="s">
        <v>236</v>
      </c>
      <c r="M126" s="395" t="s">
        <v>437</v>
      </c>
      <c r="N126" s="397" t="s">
        <v>438</v>
      </c>
      <c r="O126" s="398" t="s">
        <v>259</v>
      </c>
      <c r="P126" s="399">
        <v>2</v>
      </c>
      <c r="Q126" s="228"/>
      <c r="R126" s="231" t="s">
        <v>7</v>
      </c>
      <c r="S126" s="121">
        <f t="shared" si="25"/>
        <v>0</v>
      </c>
      <c r="T126" s="98">
        <f t="shared" si="26"/>
        <v>0</v>
      </c>
      <c r="U126" s="13" t="str">
        <f t="shared" si="27"/>
        <v>SEM VALOR</v>
      </c>
      <c r="V126" s="4" t="str">
        <f ca="1">IF(OR($A126=0,$A126="S",$A126&gt;CFF!$A$9),"",MAX(V$12:OFFSET(V126,-1,0))+1)</f>
        <v/>
      </c>
      <c r="W126" s="9" t="str">
        <f t="shared" si="28"/>
        <v>SEE/MG-120001</v>
      </c>
      <c r="X126" s="4" t="e">
        <f t="shared" ca="1" si="29"/>
        <v>#REF!</v>
      </c>
      <c r="Y126" s="121">
        <v>173.75633199999999</v>
      </c>
      <c r="Z126" s="132">
        <f ca="1">ROUND(IF(ISNUMBER(R126),R126,IF(LEFT(R126,3)="BDI",HLOOKUP(R126,DADOS!$T$37:$X$38,2,FALSE),0)),15-11*$X$5)</f>
        <v>0.27639999999999998</v>
      </c>
      <c r="AA126" s="4"/>
    </row>
    <row r="127" spans="1:27" x14ac:dyDescent="0.2">
      <c r="A127" t="str">
        <f t="shared" si="17"/>
        <v>S</v>
      </c>
      <c r="B127">
        <f t="shared" si="18"/>
        <v>0</v>
      </c>
      <c r="C127">
        <f t="shared" ca="1" si="19"/>
        <v>1</v>
      </c>
      <c r="D127">
        <f t="shared" ca="1" si="20"/>
        <v>13</v>
      </c>
      <c r="E127">
        <f t="shared" ca="1" si="21"/>
        <v>0</v>
      </c>
      <c r="F127">
        <f t="shared" ca="1" si="22"/>
        <v>0</v>
      </c>
      <c r="G127">
        <f t="shared" ca="1" si="23"/>
        <v>2</v>
      </c>
      <c r="H127">
        <f t="shared" ca="1" si="15"/>
        <v>0</v>
      </c>
      <c r="I127">
        <f t="shared" ca="1" si="16"/>
        <v>0</v>
      </c>
      <c r="J127" s="394" t="s">
        <v>103</v>
      </c>
      <c r="K127" s="162" t="str">
        <f t="shared" ca="1" si="24"/>
        <v>1.13.0.0.2.</v>
      </c>
      <c r="L127" s="395" t="s">
        <v>236</v>
      </c>
      <c r="M127" s="395" t="s">
        <v>439</v>
      </c>
      <c r="N127" s="397" t="s">
        <v>440</v>
      </c>
      <c r="O127" s="398" t="s">
        <v>259</v>
      </c>
      <c r="P127" s="399">
        <v>5</v>
      </c>
      <c r="Q127" s="228"/>
      <c r="R127" s="231" t="s">
        <v>7</v>
      </c>
      <c r="S127" s="121">
        <f t="shared" si="25"/>
        <v>0</v>
      </c>
      <c r="T127" s="98">
        <f t="shared" si="26"/>
        <v>0</v>
      </c>
      <c r="U127" s="13" t="str">
        <f t="shared" si="27"/>
        <v>SEM VALOR</v>
      </c>
      <c r="V127" s="4" t="str">
        <f ca="1">IF(OR($A127=0,$A127="S",$A127&gt;CFF!$A$9),"",MAX(V$12:OFFSET(V127,-1,0))+1)</f>
        <v/>
      </c>
      <c r="W127" s="9" t="str">
        <f t="shared" si="28"/>
        <v>SEE/MG-120002</v>
      </c>
      <c r="X127" s="4" t="e">
        <f t="shared" ca="1" si="29"/>
        <v>#REF!</v>
      </c>
      <c r="Y127" s="121">
        <v>314.33902799999998</v>
      </c>
      <c r="Z127" s="132">
        <f ca="1">ROUND(IF(ISNUMBER(R127),R127,IF(LEFT(R127,3)="BDI",HLOOKUP(R127,DADOS!$T$37:$X$38,2,FALSE),0)),15-11*$X$5)</f>
        <v>0.27639999999999998</v>
      </c>
      <c r="AA127" s="4"/>
    </row>
    <row r="128" spans="1:27" x14ac:dyDescent="0.2">
      <c r="A128" t="str">
        <f t="shared" si="17"/>
        <v>S</v>
      </c>
      <c r="B128">
        <f t="shared" si="18"/>
        <v>0</v>
      </c>
      <c r="C128">
        <f t="shared" ca="1" si="19"/>
        <v>1</v>
      </c>
      <c r="D128">
        <f t="shared" ca="1" si="20"/>
        <v>13</v>
      </c>
      <c r="E128">
        <f t="shared" ca="1" si="21"/>
        <v>0</v>
      </c>
      <c r="F128">
        <f t="shared" ca="1" si="22"/>
        <v>0</v>
      </c>
      <c r="G128">
        <f t="shared" ca="1" si="23"/>
        <v>3</v>
      </c>
      <c r="H128">
        <f t="shared" ca="1" si="15"/>
        <v>0</v>
      </c>
      <c r="I128">
        <f t="shared" ca="1" si="16"/>
        <v>0</v>
      </c>
      <c r="J128" s="394" t="s">
        <v>103</v>
      </c>
      <c r="K128" s="162" t="str">
        <f t="shared" ca="1" si="24"/>
        <v>1.13.0.0.3.</v>
      </c>
      <c r="L128" s="395" t="s">
        <v>236</v>
      </c>
      <c r="M128" s="395" t="s">
        <v>441</v>
      </c>
      <c r="N128" s="397" t="s">
        <v>442</v>
      </c>
      <c r="O128" s="398" t="s">
        <v>259</v>
      </c>
      <c r="P128" s="399">
        <v>5</v>
      </c>
      <c r="Q128" s="228"/>
      <c r="R128" s="231" t="s">
        <v>7</v>
      </c>
      <c r="S128" s="121">
        <f t="shared" si="25"/>
        <v>0</v>
      </c>
      <c r="T128" s="98">
        <f t="shared" si="26"/>
        <v>0</v>
      </c>
      <c r="U128" s="13" t="str">
        <f t="shared" si="27"/>
        <v>SEM VALOR</v>
      </c>
      <c r="V128" s="4" t="str">
        <f ca="1">IF(OR($A128=0,$A128="S",$A128&gt;CFF!$A$9),"",MAX(V$12:OFFSET(V128,-1,0))+1)</f>
        <v/>
      </c>
      <c r="W128" s="9" t="str">
        <f t="shared" si="28"/>
        <v>SEE/MG-120003</v>
      </c>
      <c r="X128" s="4" t="e">
        <f t="shared" ca="1" si="29"/>
        <v>#REF!</v>
      </c>
      <c r="Y128" s="121">
        <v>253.78661199999999</v>
      </c>
      <c r="Z128" s="132">
        <f ca="1">ROUND(IF(ISNUMBER(R128),R128,IF(LEFT(R128,3)="BDI",HLOOKUP(R128,DADOS!$T$37:$X$38,2,FALSE),0)),15-11*$X$5)</f>
        <v>0.27639999999999998</v>
      </c>
      <c r="AA128" s="4"/>
    </row>
    <row r="129" spans="1:27" x14ac:dyDescent="0.2">
      <c r="A129" t="str">
        <f t="shared" si="17"/>
        <v>S</v>
      </c>
      <c r="B129">
        <f t="shared" si="18"/>
        <v>0</v>
      </c>
      <c r="C129">
        <f t="shared" ca="1" si="19"/>
        <v>1</v>
      </c>
      <c r="D129">
        <f t="shared" ca="1" si="20"/>
        <v>13</v>
      </c>
      <c r="E129">
        <f t="shared" ca="1" si="21"/>
        <v>0</v>
      </c>
      <c r="F129">
        <f t="shared" ca="1" si="22"/>
        <v>0</v>
      </c>
      <c r="G129">
        <f t="shared" ca="1" si="23"/>
        <v>4</v>
      </c>
      <c r="H129">
        <f t="shared" ca="1" si="15"/>
        <v>0</v>
      </c>
      <c r="I129">
        <f t="shared" ca="1" si="16"/>
        <v>0</v>
      </c>
      <c r="J129" s="394" t="s">
        <v>103</v>
      </c>
      <c r="K129" s="162" t="str">
        <f t="shared" ca="1" si="24"/>
        <v>1.13.0.0.4.</v>
      </c>
      <c r="L129" s="395" t="s">
        <v>236</v>
      </c>
      <c r="M129" s="395" t="s">
        <v>443</v>
      </c>
      <c r="N129" s="397" t="s">
        <v>444</v>
      </c>
      <c r="O129" s="398" t="s">
        <v>259</v>
      </c>
      <c r="P129" s="399">
        <v>3</v>
      </c>
      <c r="Q129" s="228"/>
      <c r="R129" s="231" t="s">
        <v>7</v>
      </c>
      <c r="S129" s="121">
        <f t="shared" si="25"/>
        <v>0</v>
      </c>
      <c r="T129" s="98">
        <f t="shared" si="26"/>
        <v>0</v>
      </c>
      <c r="U129" s="13" t="str">
        <f t="shared" si="27"/>
        <v>SEM VALOR</v>
      </c>
      <c r="V129" s="4" t="str">
        <f ca="1">IF(OR($A129=0,$A129="S",$A129&gt;CFF!$A$9),"",MAX(V$12:OFFSET(V129,-1,0))+1)</f>
        <v/>
      </c>
      <c r="W129" s="9" t="str">
        <f t="shared" si="28"/>
        <v>SEE/MG-120004</v>
      </c>
      <c r="X129" s="4" t="e">
        <f t="shared" ca="1" si="29"/>
        <v>#REF!</v>
      </c>
      <c r="Y129" s="121">
        <v>556.12747999999999</v>
      </c>
      <c r="Z129" s="132">
        <f ca="1">ROUND(IF(ISNUMBER(R129),R129,IF(LEFT(R129,3)="BDI",HLOOKUP(R129,DADOS!$T$37:$X$38,2,FALSE),0)),15-11*$X$5)</f>
        <v>0.27639999999999998</v>
      </c>
      <c r="AA129" s="4"/>
    </row>
    <row r="130" spans="1:27" x14ac:dyDescent="0.2">
      <c r="A130" t="str">
        <f t="shared" si="17"/>
        <v>S</v>
      </c>
      <c r="B130">
        <f t="shared" si="18"/>
        <v>0</v>
      </c>
      <c r="C130">
        <f t="shared" ca="1" si="19"/>
        <v>1</v>
      </c>
      <c r="D130">
        <f t="shared" ca="1" si="20"/>
        <v>13</v>
      </c>
      <c r="E130">
        <f t="shared" ca="1" si="21"/>
        <v>0</v>
      </c>
      <c r="F130">
        <f t="shared" ca="1" si="22"/>
        <v>0</v>
      </c>
      <c r="G130">
        <f t="shared" ca="1" si="23"/>
        <v>5</v>
      </c>
      <c r="H130">
        <f t="shared" ca="1" si="15"/>
        <v>0</v>
      </c>
      <c r="I130">
        <f t="shared" ca="1" si="16"/>
        <v>0</v>
      </c>
      <c r="J130" s="394" t="s">
        <v>103</v>
      </c>
      <c r="K130" s="162" t="str">
        <f t="shared" ca="1" si="24"/>
        <v>1.13.0.0.5.</v>
      </c>
      <c r="L130" s="395" t="s">
        <v>236</v>
      </c>
      <c r="M130" s="395" t="s">
        <v>445</v>
      </c>
      <c r="N130" s="397" t="s">
        <v>446</v>
      </c>
      <c r="O130" s="398" t="s">
        <v>259</v>
      </c>
      <c r="P130" s="399">
        <v>1</v>
      </c>
      <c r="Q130" s="228"/>
      <c r="R130" s="231" t="s">
        <v>7</v>
      </c>
      <c r="S130" s="121">
        <f t="shared" si="25"/>
        <v>0</v>
      </c>
      <c r="T130" s="98">
        <f t="shared" si="26"/>
        <v>0</v>
      </c>
      <c r="U130" s="13" t="str">
        <f t="shared" si="27"/>
        <v>SEM VALOR</v>
      </c>
      <c r="V130" s="4" t="str">
        <f ca="1">IF(OR($A130=0,$A130="S",$A130&gt;CFF!$A$9),"",MAX(V$12:OFFSET(V130,-1,0))+1)</f>
        <v/>
      </c>
      <c r="W130" s="9" t="str">
        <f t="shared" si="28"/>
        <v>SEE/MG-120005</v>
      </c>
      <c r="X130" s="4" t="e">
        <f t="shared" ca="1" si="29"/>
        <v>#REF!</v>
      </c>
      <c r="Y130" s="121">
        <v>492.320244</v>
      </c>
      <c r="Z130" s="132">
        <f ca="1">ROUND(IF(ISNUMBER(R130),R130,IF(LEFT(R130,3)="BDI",HLOOKUP(R130,DADOS!$T$37:$X$38,2,FALSE),0)),15-11*$X$5)</f>
        <v>0.27639999999999998</v>
      </c>
      <c r="AA130" s="4"/>
    </row>
    <row r="131" spans="1:27" x14ac:dyDescent="0.2">
      <c r="A131" t="str">
        <f t="shared" si="17"/>
        <v>S</v>
      </c>
      <c r="B131">
        <f t="shared" si="18"/>
        <v>0</v>
      </c>
      <c r="C131">
        <f t="shared" ca="1" si="19"/>
        <v>1</v>
      </c>
      <c r="D131">
        <f t="shared" ca="1" si="20"/>
        <v>13</v>
      </c>
      <c r="E131">
        <f t="shared" ca="1" si="21"/>
        <v>0</v>
      </c>
      <c r="F131">
        <f t="shared" ca="1" si="22"/>
        <v>0</v>
      </c>
      <c r="G131">
        <f t="shared" ca="1" si="23"/>
        <v>6</v>
      </c>
      <c r="H131">
        <f t="shared" ca="1" si="15"/>
        <v>0</v>
      </c>
      <c r="I131">
        <f t="shared" ca="1" si="16"/>
        <v>0</v>
      </c>
      <c r="J131" s="394" t="s">
        <v>103</v>
      </c>
      <c r="K131" s="162" t="str">
        <f t="shared" ca="1" si="24"/>
        <v>1.13.0.0.6.</v>
      </c>
      <c r="L131" s="395" t="s">
        <v>236</v>
      </c>
      <c r="M131" s="395" t="s">
        <v>447</v>
      </c>
      <c r="N131" s="397" t="s">
        <v>448</v>
      </c>
      <c r="O131" s="398" t="s">
        <v>259</v>
      </c>
      <c r="P131" s="399">
        <v>5</v>
      </c>
      <c r="Q131" s="228"/>
      <c r="R131" s="231" t="s">
        <v>7</v>
      </c>
      <c r="S131" s="121">
        <f t="shared" si="25"/>
        <v>0</v>
      </c>
      <c r="T131" s="98">
        <f t="shared" si="26"/>
        <v>0</v>
      </c>
      <c r="U131" s="13" t="str">
        <f t="shared" si="27"/>
        <v>SEM VALOR</v>
      </c>
      <c r="V131" s="4" t="str">
        <f ca="1">IF(OR($A131=0,$A131="S",$A131&gt;CFF!$A$9),"",MAX(V$12:OFFSET(V131,-1,0))+1)</f>
        <v/>
      </c>
      <c r="W131" s="9" t="str">
        <f t="shared" si="28"/>
        <v>SEE/MG-120006</v>
      </c>
      <c r="X131" s="4" t="e">
        <f t="shared" ca="1" si="29"/>
        <v>#REF!</v>
      </c>
      <c r="Y131" s="121">
        <v>370.25811199999998</v>
      </c>
      <c r="Z131" s="132">
        <f ca="1">ROUND(IF(ISNUMBER(R131),R131,IF(LEFT(R131,3)="BDI",HLOOKUP(R131,DADOS!$T$37:$X$38,2,FALSE),0)),15-11*$X$5)</f>
        <v>0.27639999999999998</v>
      </c>
      <c r="AA131" s="4"/>
    </row>
    <row r="132" spans="1:27" x14ac:dyDescent="0.2">
      <c r="A132" t="str">
        <f t="shared" si="17"/>
        <v>S</v>
      </c>
      <c r="B132">
        <f t="shared" si="18"/>
        <v>0</v>
      </c>
      <c r="C132">
        <f t="shared" ca="1" si="19"/>
        <v>1</v>
      </c>
      <c r="D132">
        <f t="shared" ca="1" si="20"/>
        <v>13</v>
      </c>
      <c r="E132">
        <f t="shared" ca="1" si="21"/>
        <v>0</v>
      </c>
      <c r="F132">
        <f t="shared" ca="1" si="22"/>
        <v>0</v>
      </c>
      <c r="G132">
        <f t="shared" ca="1" si="23"/>
        <v>7</v>
      </c>
      <c r="H132">
        <f t="shared" ca="1" si="15"/>
        <v>0</v>
      </c>
      <c r="I132">
        <f t="shared" ca="1" si="16"/>
        <v>0</v>
      </c>
      <c r="J132" s="394" t="s">
        <v>103</v>
      </c>
      <c r="K132" s="162" t="str">
        <f t="shared" ca="1" si="24"/>
        <v>1.13.0.0.7.</v>
      </c>
      <c r="L132" s="395" t="s">
        <v>347</v>
      </c>
      <c r="M132" s="395" t="s">
        <v>464</v>
      </c>
      <c r="N132" s="397" t="s">
        <v>449</v>
      </c>
      <c r="O132" s="398" t="s">
        <v>259</v>
      </c>
      <c r="P132" s="399">
        <v>8</v>
      </c>
      <c r="Q132" s="228"/>
      <c r="R132" s="231" t="s">
        <v>7</v>
      </c>
      <c r="S132" s="121">
        <f t="shared" si="25"/>
        <v>0</v>
      </c>
      <c r="T132" s="98">
        <f t="shared" si="26"/>
        <v>0</v>
      </c>
      <c r="U132" s="13" t="str">
        <f t="shared" si="27"/>
        <v>SEM VALOR</v>
      </c>
      <c r="V132" s="4" t="str">
        <f ca="1">IF(OR($A132=0,$A132="S",$A132&gt;CFF!$A$9),"",MAX(V$12:OFFSET(V132,-1,0))+1)</f>
        <v/>
      </c>
      <c r="W132" s="9" t="str">
        <f t="shared" si="28"/>
        <v>SINAPI-95544</v>
      </c>
      <c r="X132" s="4" t="e">
        <f t="shared" ca="1" si="29"/>
        <v>#REF!</v>
      </c>
      <c r="Y132" s="121">
        <v>39.427996</v>
      </c>
      <c r="Z132" s="132">
        <f ca="1">ROUND(IF(ISNUMBER(R132),R132,IF(LEFT(R132,3)="BDI",HLOOKUP(R132,DADOS!$T$37:$X$38,2,FALSE),0)),15-11*$X$5)</f>
        <v>0.27639999999999998</v>
      </c>
      <c r="AA132" s="4"/>
    </row>
    <row r="133" spans="1:27" x14ac:dyDescent="0.2">
      <c r="A133" t="str">
        <f t="shared" si="17"/>
        <v>S</v>
      </c>
      <c r="B133">
        <f t="shared" si="18"/>
        <v>0</v>
      </c>
      <c r="C133">
        <f t="shared" ca="1" si="19"/>
        <v>1</v>
      </c>
      <c r="D133">
        <f t="shared" ca="1" si="20"/>
        <v>13</v>
      </c>
      <c r="E133">
        <f t="shared" ca="1" si="21"/>
        <v>0</v>
      </c>
      <c r="F133">
        <f t="shared" ca="1" si="22"/>
        <v>0</v>
      </c>
      <c r="G133">
        <f t="shared" ca="1" si="23"/>
        <v>8</v>
      </c>
      <c r="H133">
        <f t="shared" ca="1" si="15"/>
        <v>0</v>
      </c>
      <c r="I133">
        <f t="shared" ca="1" si="16"/>
        <v>0</v>
      </c>
      <c r="J133" s="394" t="s">
        <v>103</v>
      </c>
      <c r="K133" s="162" t="str">
        <f t="shared" ca="1" si="24"/>
        <v>1.13.0.0.8.</v>
      </c>
      <c r="L133" s="395" t="s">
        <v>236</v>
      </c>
      <c r="M133" s="395" t="s">
        <v>450</v>
      </c>
      <c r="N133" s="397" t="s">
        <v>327</v>
      </c>
      <c r="O133" s="398" t="s">
        <v>259</v>
      </c>
      <c r="P133" s="399">
        <v>6.4</v>
      </c>
      <c r="Q133" s="228"/>
      <c r="R133" s="231" t="s">
        <v>7</v>
      </c>
      <c r="S133" s="121">
        <f t="shared" si="25"/>
        <v>0</v>
      </c>
      <c r="T133" s="98">
        <f t="shared" si="26"/>
        <v>0</v>
      </c>
      <c r="U133" s="13" t="str">
        <f t="shared" si="27"/>
        <v>SEM VALOR</v>
      </c>
      <c r="V133" s="4" t="str">
        <f ca="1">IF(OR($A133=0,$A133="S",$A133&gt;CFF!$A$9),"",MAX(V$12:OFFSET(V133,-1,0))+1)</f>
        <v/>
      </c>
      <c r="W133" s="9" t="str">
        <f t="shared" si="28"/>
        <v>SEE/MG-120008</v>
      </c>
      <c r="X133" s="4" t="e">
        <f t="shared" ca="1" si="29"/>
        <v>#REF!</v>
      </c>
      <c r="Y133" s="121">
        <v>306.06795599999998</v>
      </c>
      <c r="Z133" s="132">
        <f ca="1">ROUND(IF(ISNUMBER(R133),R133,IF(LEFT(R133,3)="BDI",HLOOKUP(R133,DADOS!$T$37:$X$38,2,FALSE),0)),15-11*$X$5)</f>
        <v>0.27639999999999998</v>
      </c>
      <c r="AA133" s="4"/>
    </row>
    <row r="134" spans="1:27" x14ac:dyDescent="0.2">
      <c r="A134" t="str">
        <f t="shared" si="17"/>
        <v>S</v>
      </c>
      <c r="B134">
        <f t="shared" si="18"/>
        <v>0</v>
      </c>
      <c r="C134">
        <f t="shared" ca="1" si="19"/>
        <v>1</v>
      </c>
      <c r="D134">
        <f t="shared" ca="1" si="20"/>
        <v>13</v>
      </c>
      <c r="E134">
        <f t="shared" ca="1" si="21"/>
        <v>0</v>
      </c>
      <c r="F134">
        <f t="shared" ca="1" si="22"/>
        <v>0</v>
      </c>
      <c r="G134">
        <f t="shared" ca="1" si="23"/>
        <v>9</v>
      </c>
      <c r="H134">
        <f t="shared" ca="1" si="15"/>
        <v>0</v>
      </c>
      <c r="I134">
        <f t="shared" ca="1" si="16"/>
        <v>0</v>
      </c>
      <c r="J134" s="394" t="s">
        <v>103</v>
      </c>
      <c r="K134" s="162" t="str">
        <f t="shared" ca="1" si="24"/>
        <v>1.13.0.0.9.</v>
      </c>
      <c r="L134" s="395" t="s">
        <v>236</v>
      </c>
      <c r="M134" s="395" t="s">
        <v>451</v>
      </c>
      <c r="N134" s="397" t="s">
        <v>452</v>
      </c>
      <c r="O134" s="398" t="s">
        <v>259</v>
      </c>
      <c r="P134" s="399">
        <v>9</v>
      </c>
      <c r="Q134" s="228"/>
      <c r="R134" s="231" t="s">
        <v>7</v>
      </c>
      <c r="S134" s="121">
        <f t="shared" si="25"/>
        <v>0</v>
      </c>
      <c r="T134" s="98">
        <f t="shared" si="26"/>
        <v>0</v>
      </c>
      <c r="U134" s="13" t="str">
        <f t="shared" si="27"/>
        <v>SEM VALOR</v>
      </c>
      <c r="V134" s="4" t="str">
        <f ca="1">IF(OR($A134=0,$A134="S",$A134&gt;CFF!$A$9),"",MAX(V$12:OFFSET(V134,-1,0))+1)</f>
        <v/>
      </c>
      <c r="W134" s="9" t="str">
        <f t="shared" si="28"/>
        <v>SEE/MG-120009</v>
      </c>
      <c r="X134" s="4" t="e">
        <f t="shared" ca="1" si="29"/>
        <v>#REF!</v>
      </c>
      <c r="Y134" s="121">
        <v>50.647551999999997</v>
      </c>
      <c r="Z134" s="132">
        <f ca="1">ROUND(IF(ISNUMBER(R134),R134,IF(LEFT(R134,3)="BDI",HLOOKUP(R134,DADOS!$T$37:$X$38,2,FALSE),0)),15-11*$X$5)</f>
        <v>0.27639999999999998</v>
      </c>
      <c r="AA134" s="4"/>
    </row>
    <row r="135" spans="1:27" x14ac:dyDescent="0.2">
      <c r="A135" t="str">
        <f t="shared" si="17"/>
        <v>S</v>
      </c>
      <c r="B135">
        <f t="shared" si="18"/>
        <v>0</v>
      </c>
      <c r="C135">
        <f t="shared" ca="1" si="19"/>
        <v>1</v>
      </c>
      <c r="D135">
        <f t="shared" ca="1" si="20"/>
        <v>13</v>
      </c>
      <c r="E135">
        <f t="shared" ca="1" si="21"/>
        <v>0</v>
      </c>
      <c r="F135">
        <f t="shared" ca="1" si="22"/>
        <v>0</v>
      </c>
      <c r="G135">
        <f t="shared" ca="1" si="23"/>
        <v>10</v>
      </c>
      <c r="H135">
        <f t="shared" ca="1" si="15"/>
        <v>0</v>
      </c>
      <c r="I135">
        <f t="shared" ca="1" si="16"/>
        <v>0</v>
      </c>
      <c r="J135" s="394" t="s">
        <v>103</v>
      </c>
      <c r="K135" s="162" t="str">
        <f t="shared" ca="1" si="24"/>
        <v>1.13.0.0.10.</v>
      </c>
      <c r="L135" s="395" t="s">
        <v>236</v>
      </c>
      <c r="M135" s="395" t="s">
        <v>453</v>
      </c>
      <c r="N135" s="397" t="s">
        <v>454</v>
      </c>
      <c r="O135" s="398" t="s">
        <v>259</v>
      </c>
      <c r="P135" s="399">
        <v>9</v>
      </c>
      <c r="Q135" s="228"/>
      <c r="R135" s="231" t="s">
        <v>7</v>
      </c>
      <c r="S135" s="121">
        <f t="shared" si="25"/>
        <v>0</v>
      </c>
      <c r="T135" s="98">
        <f t="shared" si="26"/>
        <v>0</v>
      </c>
      <c r="U135" s="13" t="str">
        <f t="shared" si="27"/>
        <v>SEM VALOR</v>
      </c>
      <c r="V135" s="4" t="str">
        <f ca="1">IF(OR($A135=0,$A135="S",$A135&gt;CFF!$A$9),"",MAX(V$12:OFFSET(V135,-1,0))+1)</f>
        <v/>
      </c>
      <c r="W135" s="9" t="str">
        <f t="shared" si="28"/>
        <v>SEE/MG-120010</v>
      </c>
      <c r="X135" s="4" t="e">
        <f t="shared" ca="1" si="29"/>
        <v>#REF!</v>
      </c>
      <c r="Y135" s="121">
        <v>67.993827999999993</v>
      </c>
      <c r="Z135" s="132">
        <f ca="1">ROUND(IF(ISNUMBER(R135),R135,IF(LEFT(R135,3)="BDI",HLOOKUP(R135,DADOS!$T$37:$X$38,2,FALSE),0)),15-11*$X$5)</f>
        <v>0.27639999999999998</v>
      </c>
      <c r="AA135" s="4"/>
    </row>
    <row r="136" spans="1:27" x14ac:dyDescent="0.2">
      <c r="A136" t="str">
        <f t="shared" si="17"/>
        <v>S</v>
      </c>
      <c r="B136">
        <f t="shared" si="18"/>
        <v>0</v>
      </c>
      <c r="C136">
        <f t="shared" ca="1" si="19"/>
        <v>1</v>
      </c>
      <c r="D136">
        <f t="shared" ca="1" si="20"/>
        <v>13</v>
      </c>
      <c r="E136">
        <f t="shared" ca="1" si="21"/>
        <v>0</v>
      </c>
      <c r="F136">
        <f t="shared" ca="1" si="22"/>
        <v>0</v>
      </c>
      <c r="G136">
        <f t="shared" ca="1" si="23"/>
        <v>11</v>
      </c>
      <c r="H136">
        <f t="shared" ca="1" si="15"/>
        <v>0</v>
      </c>
      <c r="I136">
        <f t="shared" ca="1" si="16"/>
        <v>0</v>
      </c>
      <c r="J136" s="394" t="s">
        <v>103</v>
      </c>
      <c r="K136" s="162" t="str">
        <f t="shared" ca="1" si="24"/>
        <v>1.13.0.0.11.</v>
      </c>
      <c r="L136" s="395" t="s">
        <v>236</v>
      </c>
      <c r="M136" s="395" t="s">
        <v>455</v>
      </c>
      <c r="N136" s="397" t="s">
        <v>456</v>
      </c>
      <c r="O136" s="398" t="s">
        <v>259</v>
      </c>
      <c r="P136" s="399">
        <v>1</v>
      </c>
      <c r="Q136" s="228"/>
      <c r="R136" s="231" t="s">
        <v>7</v>
      </c>
      <c r="S136" s="121">
        <f t="shared" si="25"/>
        <v>0</v>
      </c>
      <c r="T136" s="98">
        <f t="shared" si="26"/>
        <v>0</v>
      </c>
      <c r="U136" s="13" t="str">
        <f t="shared" si="27"/>
        <v>SEM VALOR</v>
      </c>
      <c r="V136" s="4" t="str">
        <f ca="1">IF(OR($A136=0,$A136="S",$A136&gt;CFF!$A$9),"",MAX(V$12:OFFSET(V136,-1,0))+1)</f>
        <v/>
      </c>
      <c r="W136" s="9" t="str">
        <f t="shared" si="28"/>
        <v>SEE/MG-120011</v>
      </c>
      <c r="X136" s="4" t="e">
        <f t="shared" ca="1" si="29"/>
        <v>#REF!</v>
      </c>
      <c r="Y136" s="121">
        <v>430.04468800000001</v>
      </c>
      <c r="Z136" s="132">
        <f ca="1">ROUND(IF(ISNUMBER(R136),R136,IF(LEFT(R136,3)="BDI",HLOOKUP(R136,DADOS!$T$37:$X$38,2,FALSE),0)),15-11*$X$5)</f>
        <v>0.27639999999999998</v>
      </c>
      <c r="AA136" s="4"/>
    </row>
    <row r="137" spans="1:27" ht="25.5" x14ac:dyDescent="0.2">
      <c r="A137" t="str">
        <f t="shared" si="17"/>
        <v>S</v>
      </c>
      <c r="B137">
        <f t="shared" si="18"/>
        <v>0</v>
      </c>
      <c r="C137">
        <f t="shared" ca="1" si="19"/>
        <v>1</v>
      </c>
      <c r="D137">
        <f t="shared" ca="1" si="20"/>
        <v>13</v>
      </c>
      <c r="E137">
        <f t="shared" ca="1" si="21"/>
        <v>0</v>
      </c>
      <c r="F137">
        <f t="shared" ca="1" si="22"/>
        <v>0</v>
      </c>
      <c r="G137">
        <f t="shared" ca="1" si="23"/>
        <v>12</v>
      </c>
      <c r="H137">
        <f t="shared" ca="1" si="15"/>
        <v>0</v>
      </c>
      <c r="I137">
        <f t="shared" ca="1" si="16"/>
        <v>0</v>
      </c>
      <c r="J137" s="394" t="s">
        <v>103</v>
      </c>
      <c r="K137" s="162" t="str">
        <f t="shared" ca="1" si="24"/>
        <v>1.13.0.0.12.</v>
      </c>
      <c r="L137" s="395" t="s">
        <v>347</v>
      </c>
      <c r="M137" s="395" t="s">
        <v>465</v>
      </c>
      <c r="N137" s="397" t="s">
        <v>457</v>
      </c>
      <c r="O137" s="398" t="s">
        <v>259</v>
      </c>
      <c r="P137" s="399">
        <v>6</v>
      </c>
      <c r="Q137" s="228"/>
      <c r="R137" s="231" t="s">
        <v>7</v>
      </c>
      <c r="S137" s="121">
        <f t="shared" si="25"/>
        <v>0</v>
      </c>
      <c r="T137" s="98">
        <f t="shared" si="26"/>
        <v>0</v>
      </c>
      <c r="U137" s="13" t="str">
        <f t="shared" si="27"/>
        <v>SEM VALOR</v>
      </c>
      <c r="V137" s="4" t="str">
        <f ca="1">IF(OR($A137=0,$A137="S",$A137&gt;CFF!$A$9),"",MAX(V$12:OFFSET(V137,-1,0))+1)</f>
        <v/>
      </c>
      <c r="W137" s="9" t="str">
        <f t="shared" si="28"/>
        <v>SINAPI-86936</v>
      </c>
      <c r="X137" s="4" t="e">
        <f t="shared" ca="1" si="29"/>
        <v>#REF!</v>
      </c>
      <c r="Y137" s="121">
        <v>550.43473600000004</v>
      </c>
      <c r="Z137" s="132">
        <f ca="1">ROUND(IF(ISNUMBER(R137),R137,IF(LEFT(R137,3)="BDI",HLOOKUP(R137,DADOS!$T$37:$X$38,2,FALSE),0)),15-11*$X$5)</f>
        <v>0.27639999999999998</v>
      </c>
      <c r="AA137" s="4"/>
    </row>
    <row r="138" spans="1:27" ht="25.5" x14ac:dyDescent="0.2">
      <c r="A138" t="str">
        <f t="shared" si="17"/>
        <v>S</v>
      </c>
      <c r="B138">
        <f t="shared" si="18"/>
        <v>0</v>
      </c>
      <c r="C138">
        <f t="shared" ca="1" si="19"/>
        <v>1</v>
      </c>
      <c r="D138">
        <f t="shared" ca="1" si="20"/>
        <v>13</v>
      </c>
      <c r="E138">
        <f t="shared" ca="1" si="21"/>
        <v>0</v>
      </c>
      <c r="F138">
        <f t="shared" ca="1" si="22"/>
        <v>0</v>
      </c>
      <c r="G138">
        <f t="shared" ca="1" si="23"/>
        <v>13</v>
      </c>
      <c r="H138">
        <f t="shared" ca="1" si="15"/>
        <v>0</v>
      </c>
      <c r="I138">
        <f t="shared" ca="1" si="16"/>
        <v>0</v>
      </c>
      <c r="J138" s="394" t="s">
        <v>103</v>
      </c>
      <c r="K138" s="162" t="str">
        <f t="shared" ca="1" si="24"/>
        <v>1.13.0.0.13.</v>
      </c>
      <c r="L138" s="395" t="s">
        <v>347</v>
      </c>
      <c r="M138" s="395" t="s">
        <v>466</v>
      </c>
      <c r="N138" s="397" t="s">
        <v>458</v>
      </c>
      <c r="O138" s="398" t="s">
        <v>259</v>
      </c>
      <c r="P138" s="399">
        <v>5</v>
      </c>
      <c r="Q138" s="228"/>
      <c r="R138" s="231" t="s">
        <v>7</v>
      </c>
      <c r="S138" s="121">
        <f t="shared" si="25"/>
        <v>0</v>
      </c>
      <c r="T138" s="98">
        <f t="shared" si="26"/>
        <v>0</v>
      </c>
      <c r="U138" s="13" t="str">
        <f t="shared" si="27"/>
        <v>SEM VALOR</v>
      </c>
      <c r="V138" s="4" t="str">
        <f ca="1">IF(OR($A138=0,$A138="S",$A138&gt;CFF!$A$9),"",MAX(V$12:OFFSET(V138,-1,0))+1)</f>
        <v/>
      </c>
      <c r="W138" s="9" t="str">
        <f t="shared" si="28"/>
        <v>SINAPI-86909</v>
      </c>
      <c r="X138" s="4" t="e">
        <f t="shared" ca="1" si="29"/>
        <v>#REF!</v>
      </c>
      <c r="Y138" s="121">
        <v>121.436696</v>
      </c>
      <c r="Z138" s="132">
        <f ca="1">ROUND(IF(ISNUMBER(R138),R138,IF(LEFT(R138,3)="BDI",HLOOKUP(R138,DADOS!$T$37:$X$38,2,FALSE),0)),15-11*$X$5)</f>
        <v>0.27639999999999998</v>
      </c>
      <c r="AA138" s="4"/>
    </row>
    <row r="139" spans="1:27" x14ac:dyDescent="0.2">
      <c r="A139" t="str">
        <f t="shared" si="17"/>
        <v>S</v>
      </c>
      <c r="B139">
        <f t="shared" si="18"/>
        <v>0</v>
      </c>
      <c r="C139">
        <f t="shared" ca="1" si="19"/>
        <v>1</v>
      </c>
      <c r="D139">
        <f t="shared" ca="1" si="20"/>
        <v>13</v>
      </c>
      <c r="E139">
        <f t="shared" ca="1" si="21"/>
        <v>0</v>
      </c>
      <c r="F139">
        <f t="shared" ca="1" si="22"/>
        <v>0</v>
      </c>
      <c r="G139">
        <f t="shared" ca="1" si="23"/>
        <v>14</v>
      </c>
      <c r="H139">
        <f t="shared" ca="1" si="15"/>
        <v>0</v>
      </c>
      <c r="I139">
        <f t="shared" ca="1" si="16"/>
        <v>0</v>
      </c>
      <c r="J139" s="394" t="s">
        <v>103</v>
      </c>
      <c r="K139" s="162" t="str">
        <f t="shared" ca="1" si="24"/>
        <v>1.13.0.0.14.</v>
      </c>
      <c r="L139" s="395" t="s">
        <v>236</v>
      </c>
      <c r="M139" s="395" t="s">
        <v>459</v>
      </c>
      <c r="N139" s="397" t="s">
        <v>460</v>
      </c>
      <c r="O139" s="398" t="s">
        <v>259</v>
      </c>
      <c r="P139" s="399">
        <v>1</v>
      </c>
      <c r="Q139" s="228"/>
      <c r="R139" s="231" t="s">
        <v>7</v>
      </c>
      <c r="S139" s="121">
        <f t="shared" si="25"/>
        <v>0</v>
      </c>
      <c r="T139" s="98">
        <f t="shared" si="26"/>
        <v>0</v>
      </c>
      <c r="U139" s="13" t="str">
        <f t="shared" si="27"/>
        <v>SEM VALOR</v>
      </c>
      <c r="V139" s="4" t="str">
        <f ca="1">IF(OR($A139=0,$A139="S",$A139&gt;CFF!$A$9),"",MAX(V$12:OFFSET(V139,-1,0))+1)</f>
        <v/>
      </c>
      <c r="W139" s="9" t="str">
        <f t="shared" si="28"/>
        <v>SEE/MG-120014</v>
      </c>
      <c r="X139" s="4" t="e">
        <f t="shared" ca="1" si="29"/>
        <v>#REF!</v>
      </c>
      <c r="Y139" s="121">
        <v>266.79312800000002</v>
      </c>
      <c r="Z139" s="132">
        <f ca="1">ROUND(IF(ISNUMBER(R139),R139,IF(LEFT(R139,3)="BDI",HLOOKUP(R139,DADOS!$T$37:$X$38,2,FALSE),0)),15-11*$X$5)</f>
        <v>0.27639999999999998</v>
      </c>
      <c r="AA139" s="4"/>
    </row>
    <row r="140" spans="1:27" x14ac:dyDescent="0.2">
      <c r="A140" t="str">
        <f t="shared" si="17"/>
        <v>S</v>
      </c>
      <c r="B140">
        <f t="shared" si="18"/>
        <v>0</v>
      </c>
      <c r="C140">
        <f t="shared" ca="1" si="19"/>
        <v>1</v>
      </c>
      <c r="D140">
        <f t="shared" ca="1" si="20"/>
        <v>13</v>
      </c>
      <c r="E140">
        <f t="shared" ca="1" si="21"/>
        <v>0</v>
      </c>
      <c r="F140">
        <f t="shared" ca="1" si="22"/>
        <v>0</v>
      </c>
      <c r="G140">
        <f t="shared" ca="1" si="23"/>
        <v>15</v>
      </c>
      <c r="H140">
        <f t="shared" ca="1" si="15"/>
        <v>0</v>
      </c>
      <c r="I140">
        <f t="shared" ca="1" si="16"/>
        <v>0</v>
      </c>
      <c r="J140" s="394" t="s">
        <v>103</v>
      </c>
      <c r="K140" s="162" t="str">
        <f t="shared" ca="1" si="24"/>
        <v>1.13.0.0.15.</v>
      </c>
      <c r="L140" s="395" t="s">
        <v>347</v>
      </c>
      <c r="M140" s="395" t="s">
        <v>467</v>
      </c>
      <c r="N140" s="397" t="s">
        <v>461</v>
      </c>
      <c r="O140" s="398" t="s">
        <v>259</v>
      </c>
      <c r="P140" s="399">
        <v>1</v>
      </c>
      <c r="Q140" s="228"/>
      <c r="R140" s="231" t="s">
        <v>7</v>
      </c>
      <c r="S140" s="121">
        <f t="shared" si="25"/>
        <v>0</v>
      </c>
      <c r="T140" s="98">
        <f t="shared" si="26"/>
        <v>0</v>
      </c>
      <c r="U140" s="13" t="str">
        <f t="shared" si="27"/>
        <v>SEM VALOR</v>
      </c>
      <c r="V140" s="4" t="str">
        <f ca="1">IF(OR($A140=0,$A140="S",$A140&gt;CFF!$A$9),"",MAX(V$12:OFFSET(V140,-1,0))+1)</f>
        <v/>
      </c>
      <c r="W140" s="9" t="str">
        <f t="shared" si="28"/>
        <v>SINAPI-100860</v>
      </c>
      <c r="X140" s="4" t="e">
        <f t="shared" ca="1" si="29"/>
        <v>#REF!</v>
      </c>
      <c r="Y140" s="121">
        <v>100.60584799999999</v>
      </c>
      <c r="Z140" s="132">
        <f ca="1">ROUND(IF(ISNUMBER(R140),R140,IF(LEFT(R140,3)="BDI",HLOOKUP(R140,DADOS!$T$37:$X$38,2,FALSE),0)),15-11*$X$5)</f>
        <v>0.27639999999999998</v>
      </c>
      <c r="AA140" s="4"/>
    </row>
    <row r="141" spans="1:27" x14ac:dyDescent="0.2">
      <c r="A141" t="str">
        <f t="shared" si="17"/>
        <v>S</v>
      </c>
      <c r="B141">
        <f t="shared" si="18"/>
        <v>0</v>
      </c>
      <c r="C141">
        <f t="shared" ca="1" si="19"/>
        <v>1</v>
      </c>
      <c r="D141">
        <f t="shared" ca="1" si="20"/>
        <v>13</v>
      </c>
      <c r="E141">
        <f t="shared" ca="1" si="21"/>
        <v>0</v>
      </c>
      <c r="F141">
        <f t="shared" ca="1" si="22"/>
        <v>0</v>
      </c>
      <c r="G141">
        <f t="shared" ca="1" si="23"/>
        <v>16</v>
      </c>
      <c r="H141">
        <f t="shared" ca="1" si="15"/>
        <v>0</v>
      </c>
      <c r="I141">
        <f t="shared" ca="1" si="16"/>
        <v>0</v>
      </c>
      <c r="J141" s="394" t="s">
        <v>103</v>
      </c>
      <c r="K141" s="162" t="str">
        <f t="shared" ca="1" si="24"/>
        <v>1.13.0.0.16.</v>
      </c>
      <c r="L141" s="395" t="s">
        <v>236</v>
      </c>
      <c r="M141" s="395" t="s">
        <v>462</v>
      </c>
      <c r="N141" s="397" t="s">
        <v>463</v>
      </c>
      <c r="O141" s="398" t="s">
        <v>259</v>
      </c>
      <c r="P141" s="399">
        <v>5</v>
      </c>
      <c r="Q141" s="228"/>
      <c r="R141" s="231" t="s">
        <v>7</v>
      </c>
      <c r="S141" s="121">
        <f t="shared" si="25"/>
        <v>0</v>
      </c>
      <c r="T141" s="98">
        <f t="shared" si="26"/>
        <v>0</v>
      </c>
      <c r="U141" s="13" t="str">
        <f t="shared" si="27"/>
        <v>SEM VALOR</v>
      </c>
      <c r="V141" s="4" t="str">
        <f ca="1">IF(OR($A141=0,$A141="S",$A141&gt;CFF!$A$9),"",MAX(V$12:OFFSET(V141,-1,0))+1)</f>
        <v/>
      </c>
      <c r="W141" s="9" t="str">
        <f t="shared" si="28"/>
        <v>SEE/MG-120016</v>
      </c>
      <c r="X141" s="4" t="e">
        <f t="shared" ca="1" si="29"/>
        <v>#REF!</v>
      </c>
      <c r="Y141" s="121">
        <v>44.942044000000003</v>
      </c>
      <c r="Z141" s="132">
        <f ca="1">ROUND(IF(ISNUMBER(R141),R141,IF(LEFT(R141,3)="BDI",HLOOKUP(R141,DADOS!$T$37:$X$38,2,FALSE),0)),15-11*$X$5)</f>
        <v>0.27639999999999998</v>
      </c>
      <c r="AA141" s="4"/>
    </row>
    <row r="142" spans="1:27" x14ac:dyDescent="0.2">
      <c r="A142">
        <f t="shared" si="17"/>
        <v>2</v>
      </c>
      <c r="B142">
        <f t="shared" ca="1" si="18"/>
        <v>6</v>
      </c>
      <c r="C142">
        <f t="shared" ca="1" si="19"/>
        <v>1</v>
      </c>
      <c r="D142">
        <f t="shared" ca="1" si="20"/>
        <v>14</v>
      </c>
      <c r="E142">
        <f t="shared" ca="1" si="21"/>
        <v>0</v>
      </c>
      <c r="F142">
        <f t="shared" ca="1" si="22"/>
        <v>0</v>
      </c>
      <c r="G142">
        <f t="shared" ca="1" si="23"/>
        <v>0</v>
      </c>
      <c r="H142">
        <f t="shared" ca="1" si="15"/>
        <v>85</v>
      </c>
      <c r="I142">
        <f t="shared" ca="1" si="16"/>
        <v>6</v>
      </c>
      <c r="J142" s="394" t="s">
        <v>100</v>
      </c>
      <c r="K142" s="162" t="str">
        <f t="shared" ca="1" si="24"/>
        <v>1.14.</v>
      </c>
      <c r="L142" s="395"/>
      <c r="M142" s="395"/>
      <c r="N142" s="397" t="s">
        <v>468</v>
      </c>
      <c r="O142" s="398"/>
      <c r="P142" s="399"/>
      <c r="Q142" s="228"/>
      <c r="R142" s="231" t="s">
        <v>7</v>
      </c>
      <c r="S142" s="121">
        <f t="shared" si="25"/>
        <v>0</v>
      </c>
      <c r="T142" s="98">
        <f t="shared" ca="1" si="26"/>
        <v>0</v>
      </c>
      <c r="U142" s="13" t="str">
        <f t="shared" ca="1" si="27"/>
        <v>SEM VALOR</v>
      </c>
      <c r="V142" s="4">
        <f ca="1">IF(OR($A142=0,$A142="S",$A142&gt;CFF!$A$9),"",MAX(V$12:OFFSET(V142,-1,0))+1)</f>
        <v>15</v>
      </c>
      <c r="W142" s="9" t="b">
        <f t="shared" si="28"/>
        <v>0</v>
      </c>
      <c r="X142" s="4" t="str">
        <f t="shared" ca="1" si="29"/>
        <v>X</v>
      </c>
      <c r="Y142" s="121">
        <v>0</v>
      </c>
      <c r="Z142" s="132">
        <f ca="1">ROUND(IF(ISNUMBER(R142),R142,IF(LEFT(R142,3)="BDI",HLOOKUP(R142,DADOS!$T$37:$X$38,2,FALSE),0)),15-11*$X$5)</f>
        <v>0.27639999999999998</v>
      </c>
      <c r="AA142" s="4"/>
    </row>
    <row r="143" spans="1:27" x14ac:dyDescent="0.2">
      <c r="A143" t="str">
        <f t="shared" si="17"/>
        <v>S</v>
      </c>
      <c r="B143">
        <f t="shared" si="18"/>
        <v>0</v>
      </c>
      <c r="C143">
        <f t="shared" ca="1" si="19"/>
        <v>1</v>
      </c>
      <c r="D143">
        <f t="shared" ca="1" si="20"/>
        <v>14</v>
      </c>
      <c r="E143">
        <f t="shared" ca="1" si="21"/>
        <v>0</v>
      </c>
      <c r="F143">
        <f t="shared" ca="1" si="22"/>
        <v>0</v>
      </c>
      <c r="G143">
        <f t="shared" ca="1" si="23"/>
        <v>1</v>
      </c>
      <c r="H143">
        <f t="shared" ca="1" si="15"/>
        <v>0</v>
      </c>
      <c r="I143">
        <f t="shared" ca="1" si="16"/>
        <v>0</v>
      </c>
      <c r="J143" s="394" t="s">
        <v>103</v>
      </c>
      <c r="K143" s="162" t="str">
        <f t="shared" ca="1" si="24"/>
        <v>1.14.0.0.1.</v>
      </c>
      <c r="L143" s="395" t="s">
        <v>236</v>
      </c>
      <c r="M143" s="395" t="s">
        <v>469</v>
      </c>
      <c r="N143" s="397" t="s">
        <v>470</v>
      </c>
      <c r="O143" s="398" t="s">
        <v>259</v>
      </c>
      <c r="P143" s="399">
        <v>1</v>
      </c>
      <c r="Q143" s="228"/>
      <c r="R143" s="231" t="s">
        <v>7</v>
      </c>
      <c r="S143" s="121">
        <f t="shared" si="25"/>
        <v>0</v>
      </c>
      <c r="T143" s="98">
        <f t="shared" si="26"/>
        <v>0</v>
      </c>
      <c r="U143" s="13" t="str">
        <f t="shared" si="27"/>
        <v>SEM VALOR</v>
      </c>
      <c r="V143" s="4" t="str">
        <f ca="1">IF(OR($A143=0,$A143="S",$A143&gt;CFF!$A$9),"",MAX(V$12:OFFSET(V143,-1,0))+1)</f>
        <v/>
      </c>
      <c r="W143" s="9" t="str">
        <f t="shared" si="28"/>
        <v>SEE/MG-130001</v>
      </c>
      <c r="X143" s="4" t="e">
        <f t="shared" ca="1" si="29"/>
        <v>#REF!</v>
      </c>
      <c r="Y143" s="121">
        <v>6258.5338279999996</v>
      </c>
      <c r="Z143" s="132">
        <f ca="1">ROUND(IF(ISNUMBER(R143),R143,IF(LEFT(R143,3)="BDI",HLOOKUP(R143,DADOS!$T$37:$X$38,2,FALSE),0)),15-11*$X$5)</f>
        <v>0.27639999999999998</v>
      </c>
      <c r="AA143" s="4"/>
    </row>
    <row r="144" spans="1:27" ht="25.5" x14ac:dyDescent="0.2">
      <c r="A144" t="str">
        <f t="shared" si="17"/>
        <v>S</v>
      </c>
      <c r="B144">
        <f t="shared" si="18"/>
        <v>0</v>
      </c>
      <c r="C144">
        <f t="shared" ca="1" si="19"/>
        <v>1</v>
      </c>
      <c r="D144">
        <f t="shared" ca="1" si="20"/>
        <v>14</v>
      </c>
      <c r="E144">
        <f t="shared" ca="1" si="21"/>
        <v>0</v>
      </c>
      <c r="F144">
        <f t="shared" ca="1" si="22"/>
        <v>0</v>
      </c>
      <c r="G144">
        <f t="shared" ca="1" si="23"/>
        <v>2</v>
      </c>
      <c r="H144">
        <f t="shared" ref="H144:H207" ca="1" si="30">IF(OR($A144="S",$A144=0),0,MATCH(0,OFFSET($B144,1,$A144,ROW($A$227)-ROW($A144)),0))</f>
        <v>0</v>
      </c>
      <c r="I144">
        <f t="shared" ref="I144:I207" ca="1" si="31">IF(OR($A144="S",$A144=0),0,MATCH(OFFSET($B144,0,$A144)+1,OFFSET($B144,1,$A144,ROW($A$227)-ROW($A144)),0))</f>
        <v>0</v>
      </c>
      <c r="J144" s="394" t="s">
        <v>103</v>
      </c>
      <c r="K144" s="162" t="str">
        <f t="shared" ca="1" si="24"/>
        <v>1.14.0.0.2.</v>
      </c>
      <c r="L144" s="395" t="s">
        <v>347</v>
      </c>
      <c r="M144" s="395" t="s">
        <v>475</v>
      </c>
      <c r="N144" s="397" t="s">
        <v>471</v>
      </c>
      <c r="O144" s="398" t="s">
        <v>275</v>
      </c>
      <c r="P144" s="399">
        <v>7.2</v>
      </c>
      <c r="Q144" s="228"/>
      <c r="R144" s="231" t="s">
        <v>7</v>
      </c>
      <c r="S144" s="121">
        <f t="shared" si="25"/>
        <v>0</v>
      </c>
      <c r="T144" s="98">
        <f t="shared" si="26"/>
        <v>0</v>
      </c>
      <c r="U144" s="13" t="str">
        <f t="shared" si="27"/>
        <v>SEM VALOR</v>
      </c>
      <c r="V144" s="4" t="str">
        <f ca="1">IF(OR($A144=0,$A144="S",$A144&gt;CFF!$A$9),"",MAX(V$12:OFFSET(V144,-1,0))+1)</f>
        <v/>
      </c>
      <c r="W144" s="9" t="str">
        <f t="shared" si="28"/>
        <v>SINAPI-92688</v>
      </c>
      <c r="X144" s="4" t="e">
        <f t="shared" ca="1" si="29"/>
        <v>#REF!</v>
      </c>
      <c r="Y144" s="121">
        <v>57.450763999999999</v>
      </c>
      <c r="Z144" s="132">
        <f ca="1">ROUND(IF(ISNUMBER(R144),R144,IF(LEFT(R144,3)="BDI",HLOOKUP(R144,DADOS!$T$37:$X$38,2,FALSE),0)),15-11*$X$5)</f>
        <v>0.27639999999999998</v>
      </c>
      <c r="AA144" s="4"/>
    </row>
    <row r="145" spans="1:27" ht="25.5" x14ac:dyDescent="0.2">
      <c r="A145" t="str">
        <f t="shared" si="17"/>
        <v>S</v>
      </c>
      <c r="B145">
        <f t="shared" si="18"/>
        <v>0</v>
      </c>
      <c r="C145">
        <f t="shared" ca="1" si="19"/>
        <v>1</v>
      </c>
      <c r="D145">
        <f t="shared" ca="1" si="20"/>
        <v>14</v>
      </c>
      <c r="E145">
        <f t="shared" ca="1" si="21"/>
        <v>0</v>
      </c>
      <c r="F145">
        <f t="shared" ca="1" si="22"/>
        <v>0</v>
      </c>
      <c r="G145">
        <f t="shared" ca="1" si="23"/>
        <v>3</v>
      </c>
      <c r="H145">
        <f t="shared" ca="1" si="30"/>
        <v>0</v>
      </c>
      <c r="I145">
        <f t="shared" ca="1" si="31"/>
        <v>0</v>
      </c>
      <c r="J145" s="394" t="s">
        <v>103</v>
      </c>
      <c r="K145" s="162" t="str">
        <f t="shared" ca="1" si="24"/>
        <v>1.14.0.0.3.</v>
      </c>
      <c r="L145" s="395" t="s">
        <v>347</v>
      </c>
      <c r="M145" s="395" t="s">
        <v>476</v>
      </c>
      <c r="N145" s="397" t="s">
        <v>472</v>
      </c>
      <c r="O145" s="398" t="s">
        <v>259</v>
      </c>
      <c r="P145" s="399">
        <v>2</v>
      </c>
      <c r="Q145" s="228"/>
      <c r="R145" s="231" t="s">
        <v>7</v>
      </c>
      <c r="S145" s="121">
        <f t="shared" si="25"/>
        <v>0</v>
      </c>
      <c r="T145" s="98">
        <f t="shared" si="26"/>
        <v>0</v>
      </c>
      <c r="U145" s="13" t="str">
        <f t="shared" si="27"/>
        <v>SEM VALOR</v>
      </c>
      <c r="V145" s="4" t="str">
        <f ca="1">IF(OR($A145=0,$A145="S",$A145&gt;CFF!$A$9),"",MAX(V$12:OFFSET(V145,-1,0))+1)</f>
        <v/>
      </c>
      <c r="W145" s="9" t="str">
        <f t="shared" si="28"/>
        <v>SINAPI-93078</v>
      </c>
      <c r="X145" s="4" t="e">
        <f t="shared" ca="1" si="29"/>
        <v>#REF!</v>
      </c>
      <c r="Y145" s="121">
        <v>42.414771999999999</v>
      </c>
      <c r="Z145" s="132">
        <f ca="1">ROUND(IF(ISNUMBER(R145),R145,IF(LEFT(R145,3)="BDI",HLOOKUP(R145,DADOS!$T$37:$X$38,2,FALSE),0)),15-11*$X$5)</f>
        <v>0.27639999999999998</v>
      </c>
      <c r="AA145" s="4"/>
    </row>
    <row r="146" spans="1:27" x14ac:dyDescent="0.2">
      <c r="A146" t="str">
        <f t="shared" si="17"/>
        <v>S</v>
      </c>
      <c r="B146">
        <f t="shared" si="18"/>
        <v>0</v>
      </c>
      <c r="C146">
        <f t="shared" ca="1" si="19"/>
        <v>1</v>
      </c>
      <c r="D146">
        <f t="shared" ca="1" si="20"/>
        <v>14</v>
      </c>
      <c r="E146">
        <f t="shared" ca="1" si="21"/>
        <v>0</v>
      </c>
      <c r="F146">
        <f t="shared" ca="1" si="22"/>
        <v>0</v>
      </c>
      <c r="G146">
        <f t="shared" ca="1" si="23"/>
        <v>4</v>
      </c>
      <c r="H146">
        <f t="shared" ca="1" si="30"/>
        <v>0</v>
      </c>
      <c r="I146">
        <f t="shared" ca="1" si="31"/>
        <v>0</v>
      </c>
      <c r="J146" s="394" t="s">
        <v>103</v>
      </c>
      <c r="K146" s="162" t="str">
        <f t="shared" ca="1" si="24"/>
        <v>1.14.0.0.4.</v>
      </c>
      <c r="L146" s="395" t="s">
        <v>347</v>
      </c>
      <c r="M146" s="395" t="s">
        <v>477</v>
      </c>
      <c r="N146" s="397" t="s">
        <v>473</v>
      </c>
      <c r="O146" s="398" t="s">
        <v>260</v>
      </c>
      <c r="P146" s="399">
        <v>6</v>
      </c>
      <c r="Q146" s="228"/>
      <c r="R146" s="231" t="s">
        <v>7</v>
      </c>
      <c r="S146" s="121">
        <f t="shared" ref="S146:S177" si="32">IF($A146="S",IF($Q$10="Preço Unitário (R$)",PO.CustoUnitario,ROUND(PO.CustoUnitario*(1+$Z146),15-13*$X$6)),0)</f>
        <v>0</v>
      </c>
      <c r="T146" s="98">
        <f t="shared" ref="T146:T177" si="33">IF($A146="S",VTOTAL1,IF($A146=0,0,ROUND(SomaAgrup,15-13*$X$7)))</f>
        <v>0</v>
      </c>
      <c r="U146" s="13" t="str">
        <f t="shared" si="27"/>
        <v>SEM VALOR</v>
      </c>
      <c r="V146" s="4" t="str">
        <f ca="1">IF(OR($A146=0,$A146="S",$A146&gt;CFF!$A$9),"",MAX(V$12:OFFSET(V146,-1,0))+1)</f>
        <v/>
      </c>
      <c r="W146" s="9" t="str">
        <f t="shared" si="28"/>
        <v>SINAPI-98397</v>
      </c>
      <c r="X146" s="4" t="e">
        <f t="shared" ref="X146:X177" ca="1" si="34">IF(AND(Fonte&lt;&gt;"",Código&lt;&gt;""),MATCH(Fonte&amp;" "&amp;IF(Fonte="sinapi",SUBSTITUTE(SUBSTITUTE(Código,"/00","/"),"/0","/"),Código),INDIRECT("'[Referência "&amp;_xlnm.Database&amp;".xls]Banco'!$a:$a"),0),"X")</f>
        <v>#REF!</v>
      </c>
      <c r="Y146" s="121">
        <v>12.95546</v>
      </c>
      <c r="Z146" s="132">
        <f ca="1">ROUND(IF(ISNUMBER(R146),R146,IF(LEFT(R146,3)="BDI",HLOOKUP(R146,DADOS!$T$37:$X$38,2,FALSE),0)),15-11*$X$5)</f>
        <v>0.27639999999999998</v>
      </c>
      <c r="AA146" s="4"/>
    </row>
    <row r="147" spans="1:27" x14ac:dyDescent="0.2">
      <c r="A147" t="str">
        <f t="shared" si="17"/>
        <v>S</v>
      </c>
      <c r="B147">
        <f t="shared" si="18"/>
        <v>0</v>
      </c>
      <c r="C147">
        <f t="shared" ca="1" si="19"/>
        <v>1</v>
      </c>
      <c r="D147">
        <f t="shared" ca="1" si="20"/>
        <v>14</v>
      </c>
      <c r="E147">
        <f t="shared" ca="1" si="21"/>
        <v>0</v>
      </c>
      <c r="F147">
        <f t="shared" ca="1" si="22"/>
        <v>0</v>
      </c>
      <c r="G147">
        <f t="shared" ca="1" si="23"/>
        <v>5</v>
      </c>
      <c r="H147">
        <f t="shared" ca="1" si="30"/>
        <v>0</v>
      </c>
      <c r="I147">
        <f t="shared" ca="1" si="31"/>
        <v>0</v>
      </c>
      <c r="J147" s="394" t="s">
        <v>103</v>
      </c>
      <c r="K147" s="162" t="str">
        <f t="shared" ca="1" si="24"/>
        <v>1.14.0.0.5.</v>
      </c>
      <c r="L147" s="395" t="s">
        <v>347</v>
      </c>
      <c r="M147" s="395" t="s">
        <v>478</v>
      </c>
      <c r="N147" s="397" t="s">
        <v>474</v>
      </c>
      <c r="O147" s="398" t="s">
        <v>259</v>
      </c>
      <c r="P147" s="399">
        <v>2</v>
      </c>
      <c r="Q147" s="228"/>
      <c r="R147" s="231" t="s">
        <v>7</v>
      </c>
      <c r="S147" s="121">
        <f t="shared" si="32"/>
        <v>0</v>
      </c>
      <c r="T147" s="98">
        <f t="shared" si="33"/>
        <v>0</v>
      </c>
      <c r="U147" s="13" t="str">
        <f t="shared" si="27"/>
        <v>SEM VALOR</v>
      </c>
      <c r="V147" s="4" t="str">
        <f ca="1">IF(OR($A147=0,$A147="S",$A147&gt;CFF!$A$9),"",MAX(V$12:OFFSET(V147,-1,0))+1)</f>
        <v/>
      </c>
      <c r="W147" s="9" t="str">
        <f t="shared" si="28"/>
        <v>SINAPI-103029</v>
      </c>
      <c r="X147" s="4" t="e">
        <f t="shared" ca="1" si="34"/>
        <v>#REF!</v>
      </c>
      <c r="Y147" s="121">
        <v>68.044883999999996</v>
      </c>
      <c r="Z147" s="132">
        <f ca="1">ROUND(IF(ISNUMBER(R147),R147,IF(LEFT(R147,3)="BDI",HLOOKUP(R147,DADOS!$T$37:$X$38,2,FALSE),0)),15-11*$X$5)</f>
        <v>0.27639999999999998</v>
      </c>
      <c r="AA147" s="4"/>
    </row>
    <row r="148" spans="1:27" x14ac:dyDescent="0.2">
      <c r="A148">
        <f t="shared" si="17"/>
        <v>2</v>
      </c>
      <c r="B148">
        <f t="shared" ca="1" si="18"/>
        <v>4</v>
      </c>
      <c r="C148">
        <f t="shared" ca="1" si="19"/>
        <v>1</v>
      </c>
      <c r="D148">
        <f t="shared" ca="1" si="20"/>
        <v>15</v>
      </c>
      <c r="E148">
        <f t="shared" ca="1" si="21"/>
        <v>0</v>
      </c>
      <c r="F148">
        <f t="shared" ca="1" si="22"/>
        <v>0</v>
      </c>
      <c r="G148">
        <f t="shared" ca="1" si="23"/>
        <v>0</v>
      </c>
      <c r="H148">
        <f t="shared" ca="1" si="30"/>
        <v>79</v>
      </c>
      <c r="I148">
        <f t="shared" ca="1" si="31"/>
        <v>4</v>
      </c>
      <c r="J148" s="394" t="s">
        <v>100</v>
      </c>
      <c r="K148" s="162" t="str">
        <f t="shared" ca="1" si="24"/>
        <v>1.15.</v>
      </c>
      <c r="L148" s="395"/>
      <c r="M148" s="395"/>
      <c r="N148" s="397" t="s">
        <v>479</v>
      </c>
      <c r="O148" s="398"/>
      <c r="P148" s="399"/>
      <c r="Q148" s="228"/>
      <c r="R148" s="231" t="s">
        <v>7</v>
      </c>
      <c r="S148" s="121">
        <f t="shared" si="32"/>
        <v>0</v>
      </c>
      <c r="T148" s="98">
        <f t="shared" ca="1" si="33"/>
        <v>0</v>
      </c>
      <c r="U148" s="13" t="str">
        <f t="shared" ca="1" si="27"/>
        <v>SEM VALOR</v>
      </c>
      <c r="V148" s="4">
        <f ca="1">IF(OR($A148=0,$A148="S",$A148&gt;CFF!$A$9),"",MAX(V$12:OFFSET(V148,-1,0))+1)</f>
        <v>16</v>
      </c>
      <c r="W148" s="9" t="b">
        <f t="shared" si="28"/>
        <v>0</v>
      </c>
      <c r="X148" s="4" t="str">
        <f t="shared" ca="1" si="34"/>
        <v>X</v>
      </c>
      <c r="Y148" s="121">
        <v>0</v>
      </c>
      <c r="Z148" s="132">
        <f ca="1">ROUND(IF(ISNUMBER(R148),R148,IF(LEFT(R148,3)="BDI",HLOOKUP(R148,DADOS!$T$37:$X$38,2,FALSE),0)),15-11*$X$5)</f>
        <v>0.27639999999999998</v>
      </c>
      <c r="AA148" s="4"/>
    </row>
    <row r="149" spans="1:27" x14ac:dyDescent="0.2">
      <c r="A149" t="str">
        <f t="shared" si="17"/>
        <v>S</v>
      </c>
      <c r="B149">
        <f t="shared" si="18"/>
        <v>0</v>
      </c>
      <c r="C149">
        <f t="shared" ca="1" si="19"/>
        <v>1</v>
      </c>
      <c r="D149">
        <f t="shared" ca="1" si="20"/>
        <v>15</v>
      </c>
      <c r="E149">
        <f t="shared" ca="1" si="21"/>
        <v>0</v>
      </c>
      <c r="F149">
        <f t="shared" ca="1" si="22"/>
        <v>0</v>
      </c>
      <c r="G149">
        <f t="shared" ca="1" si="23"/>
        <v>1</v>
      </c>
      <c r="H149">
        <f t="shared" ca="1" si="30"/>
        <v>0</v>
      </c>
      <c r="I149">
        <f t="shared" ca="1" si="31"/>
        <v>0</v>
      </c>
      <c r="J149" s="394" t="s">
        <v>103</v>
      </c>
      <c r="K149" s="162" t="str">
        <f t="shared" ca="1" si="24"/>
        <v>1.15.0.0.1.</v>
      </c>
      <c r="L149" s="395" t="s">
        <v>236</v>
      </c>
      <c r="M149" s="395" t="s">
        <v>480</v>
      </c>
      <c r="N149" s="397" t="s">
        <v>481</v>
      </c>
      <c r="O149" s="398" t="s">
        <v>259</v>
      </c>
      <c r="P149" s="399">
        <v>5</v>
      </c>
      <c r="Q149" s="228"/>
      <c r="R149" s="231" t="s">
        <v>7</v>
      </c>
      <c r="S149" s="121">
        <f t="shared" si="32"/>
        <v>0</v>
      </c>
      <c r="T149" s="98">
        <f t="shared" si="33"/>
        <v>0</v>
      </c>
      <c r="U149" s="13" t="str">
        <f t="shared" si="27"/>
        <v>SEM VALOR</v>
      </c>
      <c r="V149" s="4" t="str">
        <f ca="1">IF(OR($A149=0,$A149="S",$A149&gt;CFF!$A$9),"",MAX(V$12:OFFSET(V149,-1,0))+1)</f>
        <v/>
      </c>
      <c r="W149" s="9" t="str">
        <f t="shared" si="28"/>
        <v>SEE/MG-140001</v>
      </c>
      <c r="X149" s="4" t="e">
        <f t="shared" ca="1" si="34"/>
        <v>#REF!</v>
      </c>
      <c r="Y149" s="121">
        <v>201.683964</v>
      </c>
      <c r="Z149" s="132">
        <f ca="1">ROUND(IF(ISNUMBER(R149),R149,IF(LEFT(R149,3)="BDI",HLOOKUP(R149,DADOS!$T$37:$X$38,2,FALSE),0)),15-11*$X$5)</f>
        <v>0.27639999999999998</v>
      </c>
      <c r="AA149" s="4"/>
    </row>
    <row r="150" spans="1:27" x14ac:dyDescent="0.2">
      <c r="A150" t="str">
        <f t="shared" si="17"/>
        <v>S</v>
      </c>
      <c r="B150">
        <f t="shared" si="18"/>
        <v>0</v>
      </c>
      <c r="C150">
        <f t="shared" ca="1" si="19"/>
        <v>1</v>
      </c>
      <c r="D150">
        <f t="shared" ca="1" si="20"/>
        <v>15</v>
      </c>
      <c r="E150">
        <f t="shared" ca="1" si="21"/>
        <v>0</v>
      </c>
      <c r="F150">
        <f t="shared" ca="1" si="22"/>
        <v>0</v>
      </c>
      <c r="G150">
        <f t="shared" ca="1" si="23"/>
        <v>2</v>
      </c>
      <c r="H150">
        <f t="shared" ca="1" si="30"/>
        <v>0</v>
      </c>
      <c r="I150">
        <f t="shared" ca="1" si="31"/>
        <v>0</v>
      </c>
      <c r="J150" s="394" t="s">
        <v>103</v>
      </c>
      <c r="K150" s="162" t="str">
        <f t="shared" ca="1" si="24"/>
        <v>1.15.0.0.2.</v>
      </c>
      <c r="L150" s="395" t="s">
        <v>236</v>
      </c>
      <c r="M150" s="395" t="s">
        <v>482</v>
      </c>
      <c r="N150" s="397" t="s">
        <v>483</v>
      </c>
      <c r="O150" s="398" t="s">
        <v>259</v>
      </c>
      <c r="P150" s="399">
        <v>16</v>
      </c>
      <c r="Q150" s="228"/>
      <c r="R150" s="231" t="s">
        <v>7</v>
      </c>
      <c r="S150" s="121">
        <f t="shared" si="32"/>
        <v>0</v>
      </c>
      <c r="T150" s="98">
        <f t="shared" si="33"/>
        <v>0</v>
      </c>
      <c r="U150" s="13" t="str">
        <f t="shared" si="27"/>
        <v>SEM VALOR</v>
      </c>
      <c r="V150" s="4" t="str">
        <f ca="1">IF(OR($A150=0,$A150="S",$A150&gt;CFF!$A$9),"",MAX(V$12:OFFSET(V150,-1,0))+1)</f>
        <v/>
      </c>
      <c r="W150" s="9" t="str">
        <f t="shared" si="28"/>
        <v>SEE/MG-140002</v>
      </c>
      <c r="X150" s="4" t="e">
        <f t="shared" ca="1" si="34"/>
        <v>#REF!</v>
      </c>
      <c r="Y150" s="121">
        <v>95.73</v>
      </c>
      <c r="Z150" s="132">
        <f ca="1">ROUND(IF(ISNUMBER(R150),R150,IF(LEFT(R150,3)="BDI",HLOOKUP(R150,DADOS!$T$37:$X$38,2,FALSE),0)),15-11*$X$5)</f>
        <v>0.27639999999999998</v>
      </c>
      <c r="AA150" s="4"/>
    </row>
    <row r="151" spans="1:27" x14ac:dyDescent="0.2">
      <c r="A151" t="str">
        <f t="shared" si="17"/>
        <v>S</v>
      </c>
      <c r="B151">
        <f t="shared" si="18"/>
        <v>0</v>
      </c>
      <c r="C151">
        <f t="shared" ca="1" si="19"/>
        <v>1</v>
      </c>
      <c r="D151">
        <f t="shared" ca="1" si="20"/>
        <v>15</v>
      </c>
      <c r="E151">
        <f t="shared" ca="1" si="21"/>
        <v>0</v>
      </c>
      <c r="F151">
        <f t="shared" ca="1" si="22"/>
        <v>0</v>
      </c>
      <c r="G151">
        <f t="shared" ca="1" si="23"/>
        <v>3</v>
      </c>
      <c r="H151">
        <f t="shared" ca="1" si="30"/>
        <v>0</v>
      </c>
      <c r="I151">
        <f t="shared" ca="1" si="31"/>
        <v>0</v>
      </c>
      <c r="J151" s="394" t="s">
        <v>103</v>
      </c>
      <c r="K151" s="162" t="str">
        <f t="shared" ca="1" si="24"/>
        <v>1.15.0.0.3.</v>
      </c>
      <c r="L151" s="395" t="s">
        <v>236</v>
      </c>
      <c r="M151" s="395" t="s">
        <v>484</v>
      </c>
      <c r="N151" s="397" t="s">
        <v>485</v>
      </c>
      <c r="O151" s="398" t="s">
        <v>316</v>
      </c>
      <c r="P151" s="399">
        <v>21</v>
      </c>
      <c r="Q151" s="228"/>
      <c r="R151" s="231" t="s">
        <v>7</v>
      </c>
      <c r="S151" s="121">
        <f t="shared" si="32"/>
        <v>0</v>
      </c>
      <c r="T151" s="98">
        <f t="shared" si="33"/>
        <v>0</v>
      </c>
      <c r="U151" s="13" t="str">
        <f t="shared" si="27"/>
        <v>SEM VALOR</v>
      </c>
      <c r="V151" s="4" t="str">
        <f ca="1">IF(OR($A151=0,$A151="S",$A151&gt;CFF!$A$9),"",MAX(V$12:OFFSET(V151,-1,0))+1)</f>
        <v/>
      </c>
      <c r="W151" s="9" t="str">
        <f t="shared" si="28"/>
        <v>SEE/MG-140003</v>
      </c>
      <c r="X151" s="4" t="e">
        <f t="shared" ca="1" si="34"/>
        <v>#REF!</v>
      </c>
      <c r="Y151" s="121">
        <v>26.1662</v>
      </c>
      <c r="Z151" s="132">
        <f ca="1">ROUND(IF(ISNUMBER(R151),R151,IF(LEFT(R151,3)="BDI",HLOOKUP(R151,DADOS!$T$37:$X$38,2,FALSE),0)),15-11*$X$5)</f>
        <v>0.27639999999999998</v>
      </c>
      <c r="AA151" s="4"/>
    </row>
    <row r="152" spans="1:27" x14ac:dyDescent="0.2">
      <c r="A152">
        <f t="shared" si="17"/>
        <v>2</v>
      </c>
      <c r="B152">
        <f t="shared" ca="1" si="18"/>
        <v>51</v>
      </c>
      <c r="C152">
        <f t="shared" ca="1" si="19"/>
        <v>1</v>
      </c>
      <c r="D152">
        <f t="shared" ca="1" si="20"/>
        <v>16</v>
      </c>
      <c r="E152">
        <f t="shared" ca="1" si="21"/>
        <v>0</v>
      </c>
      <c r="F152">
        <f t="shared" ca="1" si="22"/>
        <v>0</v>
      </c>
      <c r="G152">
        <f t="shared" ca="1" si="23"/>
        <v>0</v>
      </c>
      <c r="H152">
        <f t="shared" ca="1" si="30"/>
        <v>75</v>
      </c>
      <c r="I152">
        <f t="shared" ca="1" si="31"/>
        <v>51</v>
      </c>
      <c r="J152" s="394" t="s">
        <v>100</v>
      </c>
      <c r="K152" s="162" t="str">
        <f t="shared" ca="1" si="24"/>
        <v>1.16.</v>
      </c>
      <c r="L152" s="395"/>
      <c r="M152" s="395"/>
      <c r="N152" s="397" t="s">
        <v>486</v>
      </c>
      <c r="O152" s="398"/>
      <c r="P152" s="399"/>
      <c r="Q152" s="228"/>
      <c r="R152" s="231" t="s">
        <v>7</v>
      </c>
      <c r="S152" s="121">
        <f t="shared" si="32"/>
        <v>0</v>
      </c>
      <c r="T152" s="98">
        <f t="shared" ca="1" si="33"/>
        <v>0</v>
      </c>
      <c r="U152" s="13" t="str">
        <f t="shared" ca="1" si="27"/>
        <v>SEM VALOR</v>
      </c>
      <c r="V152" s="4">
        <f ca="1">IF(OR($A152=0,$A152="S",$A152&gt;CFF!$A$9),"",MAX(V$12:OFFSET(V152,-1,0))+1)</f>
        <v>17</v>
      </c>
      <c r="W152" s="9" t="b">
        <f t="shared" si="28"/>
        <v>0</v>
      </c>
      <c r="X152" s="4" t="str">
        <f t="shared" ca="1" si="34"/>
        <v>X</v>
      </c>
      <c r="Y152" s="121">
        <v>0</v>
      </c>
      <c r="Z152" s="132">
        <f ca="1">ROUND(IF(ISNUMBER(R152),R152,IF(LEFT(R152,3)="BDI",HLOOKUP(R152,DADOS!$T$37:$X$38,2,FALSE),0)),15-11*$X$5)</f>
        <v>0.27639999999999998</v>
      </c>
      <c r="AA152" s="4"/>
    </row>
    <row r="153" spans="1:27" x14ac:dyDescent="0.2">
      <c r="A153">
        <f t="shared" si="17"/>
        <v>3</v>
      </c>
      <c r="B153">
        <f t="shared" ca="1" si="18"/>
        <v>5</v>
      </c>
      <c r="C153">
        <f t="shared" ca="1" si="19"/>
        <v>1</v>
      </c>
      <c r="D153">
        <f t="shared" ca="1" si="20"/>
        <v>16</v>
      </c>
      <c r="E153">
        <f t="shared" ca="1" si="21"/>
        <v>1</v>
      </c>
      <c r="F153">
        <f t="shared" ca="1" si="22"/>
        <v>0</v>
      </c>
      <c r="G153">
        <f t="shared" ca="1" si="23"/>
        <v>0</v>
      </c>
      <c r="H153">
        <f t="shared" ca="1" si="30"/>
        <v>50</v>
      </c>
      <c r="I153">
        <f t="shared" ca="1" si="31"/>
        <v>5</v>
      </c>
      <c r="J153" s="394" t="s">
        <v>101</v>
      </c>
      <c r="K153" s="162" t="str">
        <f t="shared" ca="1" si="24"/>
        <v>1.16.1.</v>
      </c>
      <c r="L153" s="395"/>
      <c r="M153" s="395"/>
      <c r="N153" s="397" t="s">
        <v>559</v>
      </c>
      <c r="O153" s="398"/>
      <c r="P153" s="399"/>
      <c r="Q153" s="228"/>
      <c r="R153" s="231" t="s">
        <v>7</v>
      </c>
      <c r="S153" s="121">
        <f t="shared" si="32"/>
        <v>0</v>
      </c>
      <c r="T153" s="98">
        <f t="shared" ca="1" si="33"/>
        <v>0</v>
      </c>
      <c r="U153" s="13" t="str">
        <f t="shared" ca="1" si="27"/>
        <v>SEM VALOR</v>
      </c>
      <c r="V153" s="4" t="str">
        <f ca="1">IF(OR($A153=0,$A153="S",$A153&gt;CFF!$A$9),"",MAX(V$12:OFFSET(V153,-1,0))+1)</f>
        <v/>
      </c>
      <c r="W153" s="9" t="b">
        <f t="shared" si="28"/>
        <v>0</v>
      </c>
      <c r="X153" s="4" t="str">
        <f t="shared" ca="1" si="34"/>
        <v>X</v>
      </c>
      <c r="Y153" s="121">
        <v>0</v>
      </c>
      <c r="Z153" s="132">
        <f ca="1">ROUND(IF(ISNUMBER(R153),R153,IF(LEFT(R153,3)="BDI",HLOOKUP(R153,DADOS!$T$37:$X$38,2,FALSE),0)),15-11*$X$5)</f>
        <v>0.27639999999999998</v>
      </c>
      <c r="AA153" s="4"/>
    </row>
    <row r="154" spans="1:27" x14ac:dyDescent="0.2">
      <c r="A154" t="str">
        <f t="shared" si="17"/>
        <v>S</v>
      </c>
      <c r="B154">
        <f t="shared" si="18"/>
        <v>0</v>
      </c>
      <c r="C154">
        <f t="shared" ca="1" si="19"/>
        <v>1</v>
      </c>
      <c r="D154">
        <f t="shared" ca="1" si="20"/>
        <v>16</v>
      </c>
      <c r="E154">
        <f t="shared" ca="1" si="21"/>
        <v>1</v>
      </c>
      <c r="F154">
        <f t="shared" ca="1" si="22"/>
        <v>0</v>
      </c>
      <c r="G154">
        <f t="shared" ca="1" si="23"/>
        <v>1</v>
      </c>
      <c r="H154">
        <f t="shared" ca="1" si="30"/>
        <v>0</v>
      </c>
      <c r="I154">
        <f t="shared" ca="1" si="31"/>
        <v>0</v>
      </c>
      <c r="J154" s="394" t="s">
        <v>103</v>
      </c>
      <c r="K154" s="162" t="str">
        <f t="shared" ca="1" si="24"/>
        <v>1.16.1.0.1.</v>
      </c>
      <c r="L154" s="395" t="s">
        <v>236</v>
      </c>
      <c r="M154" s="395" t="s">
        <v>487</v>
      </c>
      <c r="N154" s="397" t="s">
        <v>549</v>
      </c>
      <c r="O154" s="398" t="s">
        <v>259</v>
      </c>
      <c r="P154" s="399">
        <v>2</v>
      </c>
      <c r="Q154" s="228"/>
      <c r="R154" s="231" t="s">
        <v>7</v>
      </c>
      <c r="S154" s="121">
        <f t="shared" si="32"/>
        <v>0</v>
      </c>
      <c r="T154" s="98">
        <f t="shared" si="33"/>
        <v>0</v>
      </c>
      <c r="U154" s="13" t="str">
        <f t="shared" si="27"/>
        <v>SEM VALOR</v>
      </c>
      <c r="V154" s="4" t="str">
        <f ca="1">IF(OR($A154=0,$A154="S",$A154&gt;CFF!$A$9),"",MAX(V$12:OFFSET(V154,-1,0))+1)</f>
        <v/>
      </c>
      <c r="W154" s="9" t="str">
        <f t="shared" si="28"/>
        <v>SEE/MG-150001</v>
      </c>
      <c r="X154" s="4" t="e">
        <f t="shared" ca="1" si="34"/>
        <v>#REF!</v>
      </c>
      <c r="Y154" s="121">
        <v>220.71508800000001</v>
      </c>
      <c r="Z154" s="132">
        <f ca="1">ROUND(IF(ISNUMBER(R154),R154,IF(LEFT(R154,3)="BDI",HLOOKUP(R154,DADOS!$T$37:$X$38,2,FALSE),0)),15-11*$X$5)</f>
        <v>0.27639999999999998</v>
      </c>
      <c r="AA154" s="4"/>
    </row>
    <row r="155" spans="1:27" x14ac:dyDescent="0.2">
      <c r="A155" t="str">
        <f t="shared" si="17"/>
        <v>S</v>
      </c>
      <c r="B155">
        <f t="shared" si="18"/>
        <v>0</v>
      </c>
      <c r="C155">
        <f t="shared" ca="1" si="19"/>
        <v>1</v>
      </c>
      <c r="D155">
        <f t="shared" ca="1" si="20"/>
        <v>16</v>
      </c>
      <c r="E155">
        <f t="shared" ca="1" si="21"/>
        <v>1</v>
      </c>
      <c r="F155">
        <f t="shared" ca="1" si="22"/>
        <v>0</v>
      </c>
      <c r="G155">
        <f t="shared" ca="1" si="23"/>
        <v>2</v>
      </c>
      <c r="H155">
        <f t="shared" ca="1" si="30"/>
        <v>0</v>
      </c>
      <c r="I155">
        <f t="shared" ca="1" si="31"/>
        <v>0</v>
      </c>
      <c r="J155" s="394" t="s">
        <v>103</v>
      </c>
      <c r="K155" s="162" t="str">
        <f t="shared" ca="1" si="24"/>
        <v>1.16.1.0.2.</v>
      </c>
      <c r="L155" s="395" t="s">
        <v>236</v>
      </c>
      <c r="M155" s="395" t="s">
        <v>488</v>
      </c>
      <c r="N155" s="397" t="s">
        <v>550</v>
      </c>
      <c r="O155" s="398" t="s">
        <v>259</v>
      </c>
      <c r="P155" s="399">
        <v>1</v>
      </c>
      <c r="Q155" s="228"/>
      <c r="R155" s="231" t="s">
        <v>7</v>
      </c>
      <c r="S155" s="121">
        <f t="shared" si="32"/>
        <v>0</v>
      </c>
      <c r="T155" s="98">
        <f t="shared" si="33"/>
        <v>0</v>
      </c>
      <c r="U155" s="13" t="str">
        <f t="shared" si="27"/>
        <v>SEM VALOR</v>
      </c>
      <c r="V155" s="4" t="str">
        <f ca="1">IF(OR($A155=0,$A155="S",$A155&gt;CFF!$A$9),"",MAX(V$12:OFFSET(V155,-1,0))+1)</f>
        <v/>
      </c>
      <c r="W155" s="9" t="str">
        <f t="shared" si="28"/>
        <v>SEE/MG-150002</v>
      </c>
      <c r="X155" s="4" t="e">
        <f t="shared" ca="1" si="34"/>
        <v>#REF!</v>
      </c>
      <c r="Y155" s="121">
        <v>257.57751999999999</v>
      </c>
      <c r="Z155" s="132">
        <f ca="1">ROUND(IF(ISNUMBER(R155),R155,IF(LEFT(R155,3)="BDI",HLOOKUP(R155,DADOS!$T$37:$X$38,2,FALSE),0)),15-11*$X$5)</f>
        <v>0.27639999999999998</v>
      </c>
      <c r="AA155" s="4"/>
    </row>
    <row r="156" spans="1:27" ht="25.5" x14ac:dyDescent="0.2">
      <c r="A156" t="str">
        <f t="shared" si="17"/>
        <v>S</v>
      </c>
      <c r="B156">
        <f t="shared" si="18"/>
        <v>0</v>
      </c>
      <c r="C156">
        <f t="shared" ca="1" si="19"/>
        <v>1</v>
      </c>
      <c r="D156">
        <f t="shared" ca="1" si="20"/>
        <v>16</v>
      </c>
      <c r="E156">
        <f t="shared" ca="1" si="21"/>
        <v>1</v>
      </c>
      <c r="F156">
        <f t="shared" ca="1" si="22"/>
        <v>0</v>
      </c>
      <c r="G156">
        <f t="shared" ca="1" si="23"/>
        <v>3</v>
      </c>
      <c r="H156">
        <f t="shared" ca="1" si="30"/>
        <v>0</v>
      </c>
      <c r="I156">
        <f t="shared" ca="1" si="31"/>
        <v>0</v>
      </c>
      <c r="J156" s="394" t="s">
        <v>103</v>
      </c>
      <c r="K156" s="162" t="str">
        <f t="shared" ca="1" si="24"/>
        <v>1.16.1.0.3.</v>
      </c>
      <c r="L156" s="395" t="s">
        <v>347</v>
      </c>
      <c r="M156" s="395" t="s">
        <v>560</v>
      </c>
      <c r="N156" s="397" t="s">
        <v>489</v>
      </c>
      <c r="O156" s="398" t="s">
        <v>316</v>
      </c>
      <c r="P156" s="399">
        <v>1</v>
      </c>
      <c r="Q156" s="228"/>
      <c r="R156" s="231" t="s">
        <v>7</v>
      </c>
      <c r="S156" s="121">
        <f t="shared" si="32"/>
        <v>0</v>
      </c>
      <c r="T156" s="98">
        <f t="shared" si="33"/>
        <v>0</v>
      </c>
      <c r="U156" s="13" t="str">
        <f t="shared" si="27"/>
        <v>SEM VALOR</v>
      </c>
      <c r="V156" s="4" t="str">
        <f ca="1">IF(OR($A156=0,$A156="S",$A156&gt;CFF!$A$9),"",MAX(V$12:OFFSET(V156,-1,0))+1)</f>
        <v/>
      </c>
      <c r="W156" s="9" t="str">
        <f t="shared" si="28"/>
        <v>SINAPI-100560</v>
      </c>
      <c r="X156" s="4" t="e">
        <f t="shared" ca="1" si="34"/>
        <v>#REF!</v>
      </c>
      <c r="Y156" s="121">
        <v>153.42328000000001</v>
      </c>
      <c r="Z156" s="132">
        <f ca="1">ROUND(IF(ISNUMBER(R156),R156,IF(LEFT(R156,3)="BDI",HLOOKUP(R156,DADOS!$T$37:$X$38,2,FALSE),0)),15-11*$X$5)</f>
        <v>0.27639999999999998</v>
      </c>
      <c r="AA156" s="4"/>
    </row>
    <row r="157" spans="1:27" x14ac:dyDescent="0.2">
      <c r="A157" t="str">
        <f t="shared" si="17"/>
        <v>S</v>
      </c>
      <c r="B157">
        <f t="shared" si="18"/>
        <v>0</v>
      </c>
      <c r="C157">
        <f t="shared" ca="1" si="19"/>
        <v>1</v>
      </c>
      <c r="D157">
        <f t="shared" ca="1" si="20"/>
        <v>16</v>
      </c>
      <c r="E157">
        <f t="shared" ca="1" si="21"/>
        <v>1</v>
      </c>
      <c r="F157">
        <f t="shared" ca="1" si="22"/>
        <v>0</v>
      </c>
      <c r="G157">
        <f t="shared" ca="1" si="23"/>
        <v>4</v>
      </c>
      <c r="H157">
        <f t="shared" ca="1" si="30"/>
        <v>0</v>
      </c>
      <c r="I157">
        <f t="shared" ca="1" si="31"/>
        <v>0</v>
      </c>
      <c r="J157" s="394" t="s">
        <v>103</v>
      </c>
      <c r="K157" s="162" t="str">
        <f t="shared" ca="1" si="24"/>
        <v>1.16.1.0.4.</v>
      </c>
      <c r="L157" s="395" t="s">
        <v>236</v>
      </c>
      <c r="M157" s="395" t="s">
        <v>561</v>
      </c>
      <c r="N157" s="397" t="s">
        <v>490</v>
      </c>
      <c r="O157" s="398" t="s">
        <v>259</v>
      </c>
      <c r="P157" s="399">
        <v>1</v>
      </c>
      <c r="Q157" s="228"/>
      <c r="R157" s="231" t="s">
        <v>7</v>
      </c>
      <c r="S157" s="121">
        <f t="shared" si="32"/>
        <v>0</v>
      </c>
      <c r="T157" s="98">
        <f t="shared" si="33"/>
        <v>0</v>
      </c>
      <c r="U157" s="13" t="str">
        <f t="shared" si="27"/>
        <v>SEM VALOR</v>
      </c>
      <c r="V157" s="4" t="str">
        <f ca="1">IF(OR($A157=0,$A157="S",$A157&gt;CFF!$A$9),"",MAX(V$12:OFFSET(V157,-1,0))+1)</f>
        <v/>
      </c>
      <c r="W157" s="9" t="str">
        <f t="shared" si="28"/>
        <v>SEE/MG-97359</v>
      </c>
      <c r="X157" s="4" t="e">
        <f t="shared" ca="1" si="34"/>
        <v>#REF!</v>
      </c>
      <c r="Y157" s="121">
        <v>3471.8335280000001</v>
      </c>
      <c r="Z157" s="132">
        <f ca="1">ROUND(IF(ISNUMBER(R157),R157,IF(LEFT(R157,3)="BDI",HLOOKUP(R157,DADOS!$T$37:$X$38,2,FALSE),0)),15-11*$X$5)</f>
        <v>0.27639999999999998</v>
      </c>
      <c r="AA157" s="4"/>
    </row>
    <row r="158" spans="1:27" x14ac:dyDescent="0.2">
      <c r="A158">
        <f t="shared" si="17"/>
        <v>3</v>
      </c>
      <c r="B158">
        <f t="shared" ca="1" si="18"/>
        <v>5</v>
      </c>
      <c r="C158">
        <f t="shared" ca="1" si="19"/>
        <v>1</v>
      </c>
      <c r="D158">
        <f t="shared" ca="1" si="20"/>
        <v>16</v>
      </c>
      <c r="E158">
        <f t="shared" ca="1" si="21"/>
        <v>2</v>
      </c>
      <c r="F158">
        <f t="shared" ca="1" si="22"/>
        <v>0</v>
      </c>
      <c r="G158">
        <f t="shared" ca="1" si="23"/>
        <v>0</v>
      </c>
      <c r="H158">
        <f t="shared" ca="1" si="30"/>
        <v>45</v>
      </c>
      <c r="I158">
        <f t="shared" ca="1" si="31"/>
        <v>5</v>
      </c>
      <c r="J158" s="394" t="s">
        <v>101</v>
      </c>
      <c r="K158" s="162" t="str">
        <f t="shared" ca="1" si="24"/>
        <v>1.16.2.</v>
      </c>
      <c r="L158" s="395"/>
      <c r="M158" s="395" t="s">
        <v>491</v>
      </c>
      <c r="N158" s="397" t="s">
        <v>492</v>
      </c>
      <c r="O158" s="398"/>
      <c r="P158" s="399"/>
      <c r="Q158" s="228"/>
      <c r="R158" s="231" t="s">
        <v>7</v>
      </c>
      <c r="S158" s="121">
        <f t="shared" si="32"/>
        <v>0</v>
      </c>
      <c r="T158" s="98">
        <f t="shared" ca="1" si="33"/>
        <v>0</v>
      </c>
      <c r="U158" s="13" t="str">
        <f t="shared" ca="1" si="27"/>
        <v>SEM VALOR</v>
      </c>
      <c r="V158" s="4" t="str">
        <f ca="1">IF(OR($A158=0,$A158="S",$A158&gt;CFF!$A$9),"",MAX(V$12:OFFSET(V158,-1,0))+1)</f>
        <v/>
      </c>
      <c r="W158" s="9" t="b">
        <f t="shared" si="28"/>
        <v>0</v>
      </c>
      <c r="X158" s="4" t="str">
        <f t="shared" ca="1" si="34"/>
        <v>X</v>
      </c>
      <c r="Y158" s="121">
        <v>0</v>
      </c>
      <c r="Z158" s="132">
        <f ca="1">ROUND(IF(ISNUMBER(R158),R158,IF(LEFT(R158,3)="BDI",HLOOKUP(R158,DADOS!$T$37:$X$38,2,FALSE),0)),15-11*$X$5)</f>
        <v>0.27639999999999998</v>
      </c>
      <c r="AA158" s="4"/>
    </row>
    <row r="159" spans="1:27" x14ac:dyDescent="0.2">
      <c r="A159" t="str">
        <f t="shared" si="17"/>
        <v>S</v>
      </c>
      <c r="B159">
        <f t="shared" si="18"/>
        <v>0</v>
      </c>
      <c r="C159">
        <f t="shared" ca="1" si="19"/>
        <v>1</v>
      </c>
      <c r="D159">
        <f t="shared" ca="1" si="20"/>
        <v>16</v>
      </c>
      <c r="E159">
        <f t="shared" ca="1" si="21"/>
        <v>2</v>
      </c>
      <c r="F159">
        <f t="shared" ca="1" si="22"/>
        <v>0</v>
      </c>
      <c r="G159">
        <f t="shared" ca="1" si="23"/>
        <v>1</v>
      </c>
      <c r="H159">
        <f t="shared" ca="1" si="30"/>
        <v>0</v>
      </c>
      <c r="I159">
        <f t="shared" ca="1" si="31"/>
        <v>0</v>
      </c>
      <c r="J159" s="394" t="s">
        <v>103</v>
      </c>
      <c r="K159" s="162" t="str">
        <f t="shared" ca="1" si="24"/>
        <v>1.16.2.0.1.</v>
      </c>
      <c r="L159" s="395" t="s">
        <v>236</v>
      </c>
      <c r="M159" s="395" t="s">
        <v>491</v>
      </c>
      <c r="N159" s="397" t="s">
        <v>493</v>
      </c>
      <c r="O159" s="398" t="s">
        <v>259</v>
      </c>
      <c r="P159" s="399">
        <v>9</v>
      </c>
      <c r="Q159" s="228"/>
      <c r="R159" s="231" t="s">
        <v>7</v>
      </c>
      <c r="S159" s="121">
        <f t="shared" si="32"/>
        <v>0</v>
      </c>
      <c r="T159" s="98">
        <f t="shared" si="33"/>
        <v>0</v>
      </c>
      <c r="U159" s="13" t="str">
        <f t="shared" si="27"/>
        <v>SEM VALOR</v>
      </c>
      <c r="V159" s="4" t="str">
        <f ca="1">IF(OR($A159=0,$A159="S",$A159&gt;CFF!$A$9),"",MAX(V$12:OFFSET(V159,-1,0))+1)</f>
        <v/>
      </c>
      <c r="W159" s="9" t="str">
        <f t="shared" si="28"/>
        <v>SEE/MG-150005</v>
      </c>
      <c r="X159" s="4" t="e">
        <f t="shared" ca="1" si="34"/>
        <v>#REF!</v>
      </c>
      <c r="Y159" s="121">
        <v>24.047376</v>
      </c>
      <c r="Z159" s="132">
        <f ca="1">ROUND(IF(ISNUMBER(R159),R159,IF(LEFT(R159,3)="BDI",HLOOKUP(R159,DADOS!$T$37:$X$38,2,FALSE),0)),15-11*$X$5)</f>
        <v>0.27639999999999998</v>
      </c>
      <c r="AA159" s="4"/>
    </row>
    <row r="160" spans="1:27" x14ac:dyDescent="0.2">
      <c r="A160" t="str">
        <f t="shared" si="17"/>
        <v>S</v>
      </c>
      <c r="B160">
        <f t="shared" si="18"/>
        <v>0</v>
      </c>
      <c r="C160">
        <f t="shared" ca="1" si="19"/>
        <v>1</v>
      </c>
      <c r="D160">
        <f t="shared" ca="1" si="20"/>
        <v>16</v>
      </c>
      <c r="E160">
        <f t="shared" ca="1" si="21"/>
        <v>2</v>
      </c>
      <c r="F160">
        <f t="shared" ca="1" si="22"/>
        <v>0</v>
      </c>
      <c r="G160">
        <f t="shared" ca="1" si="23"/>
        <v>2</v>
      </c>
      <c r="H160">
        <f t="shared" ca="1" si="30"/>
        <v>0</v>
      </c>
      <c r="I160">
        <f t="shared" ca="1" si="31"/>
        <v>0</v>
      </c>
      <c r="J160" s="394" t="s">
        <v>103</v>
      </c>
      <c r="K160" s="162" t="str">
        <f t="shared" ca="1" si="24"/>
        <v>1.16.2.0.2.</v>
      </c>
      <c r="L160" s="395" t="s">
        <v>236</v>
      </c>
      <c r="M160" s="395" t="s">
        <v>494</v>
      </c>
      <c r="N160" s="397" t="s">
        <v>495</v>
      </c>
      <c r="O160" s="398" t="s">
        <v>259</v>
      </c>
      <c r="P160" s="399">
        <v>32</v>
      </c>
      <c r="Q160" s="228"/>
      <c r="R160" s="231" t="s">
        <v>7</v>
      </c>
      <c r="S160" s="121">
        <f t="shared" si="32"/>
        <v>0</v>
      </c>
      <c r="T160" s="98">
        <f t="shared" si="33"/>
        <v>0</v>
      </c>
      <c r="U160" s="13" t="str">
        <f t="shared" si="27"/>
        <v>SEM VALOR</v>
      </c>
      <c r="V160" s="4" t="str">
        <f ca="1">IF(OR($A160=0,$A160="S",$A160&gt;CFF!$A$9),"",MAX(V$12:OFFSET(V160,-1,0))+1)</f>
        <v/>
      </c>
      <c r="W160" s="9" t="str">
        <f t="shared" si="28"/>
        <v>SEE/MG-150006</v>
      </c>
      <c r="X160" s="4" t="e">
        <f t="shared" ca="1" si="34"/>
        <v>#REF!</v>
      </c>
      <c r="Y160" s="121">
        <v>56.927439999999997</v>
      </c>
      <c r="Z160" s="132">
        <f ca="1">ROUND(IF(ISNUMBER(R160),R160,IF(LEFT(R160,3)="BDI",HLOOKUP(R160,DADOS!$T$37:$X$38,2,FALSE),0)),15-11*$X$5)</f>
        <v>0.27639999999999998</v>
      </c>
      <c r="AA160" s="4"/>
    </row>
    <row r="161" spans="1:27" x14ac:dyDescent="0.2">
      <c r="A161" t="str">
        <f t="shared" si="17"/>
        <v>S</v>
      </c>
      <c r="B161">
        <f t="shared" si="18"/>
        <v>0</v>
      </c>
      <c r="C161">
        <f t="shared" ca="1" si="19"/>
        <v>1</v>
      </c>
      <c r="D161">
        <f t="shared" ca="1" si="20"/>
        <v>16</v>
      </c>
      <c r="E161">
        <f t="shared" ca="1" si="21"/>
        <v>2</v>
      </c>
      <c r="F161">
        <f t="shared" ca="1" si="22"/>
        <v>0</v>
      </c>
      <c r="G161">
        <f t="shared" ca="1" si="23"/>
        <v>3</v>
      </c>
      <c r="H161">
        <f t="shared" ca="1" si="30"/>
        <v>0</v>
      </c>
      <c r="I161">
        <f t="shared" ca="1" si="31"/>
        <v>0</v>
      </c>
      <c r="J161" s="394" t="s">
        <v>103</v>
      </c>
      <c r="K161" s="162" t="str">
        <f t="shared" ca="1" si="24"/>
        <v>1.16.2.0.3.</v>
      </c>
      <c r="L161" s="395" t="s">
        <v>236</v>
      </c>
      <c r="M161" s="395" t="s">
        <v>496</v>
      </c>
      <c r="N161" s="397" t="s">
        <v>497</v>
      </c>
      <c r="O161" s="398" t="s">
        <v>259</v>
      </c>
      <c r="P161" s="399">
        <v>1</v>
      </c>
      <c r="Q161" s="228"/>
      <c r="R161" s="231" t="s">
        <v>7</v>
      </c>
      <c r="S161" s="121">
        <f t="shared" si="32"/>
        <v>0</v>
      </c>
      <c r="T161" s="98">
        <f t="shared" si="33"/>
        <v>0</v>
      </c>
      <c r="U161" s="13" t="str">
        <f t="shared" si="27"/>
        <v>SEM VALOR</v>
      </c>
      <c r="V161" s="4" t="str">
        <f ca="1">IF(OR($A161=0,$A161="S",$A161&gt;CFF!$A$9),"",MAX(V$12:OFFSET(V161,-1,0))+1)</f>
        <v/>
      </c>
      <c r="W161" s="9" t="str">
        <f t="shared" si="28"/>
        <v>SEE/MG-150007</v>
      </c>
      <c r="X161" s="4" t="e">
        <f t="shared" ca="1" si="34"/>
        <v>#REF!</v>
      </c>
      <c r="Y161" s="121">
        <v>130.090688</v>
      </c>
      <c r="Z161" s="132">
        <f ca="1">ROUND(IF(ISNUMBER(R161),R161,IF(LEFT(R161,3)="BDI",HLOOKUP(R161,DADOS!$T$37:$X$38,2,FALSE),0)),15-11*$X$5)</f>
        <v>0.27639999999999998</v>
      </c>
      <c r="AA161" s="4"/>
    </row>
    <row r="162" spans="1:27" x14ac:dyDescent="0.2">
      <c r="A162" t="str">
        <f t="shared" si="17"/>
        <v>S</v>
      </c>
      <c r="B162">
        <f t="shared" si="18"/>
        <v>0</v>
      </c>
      <c r="C162">
        <f t="shared" ca="1" si="19"/>
        <v>1</v>
      </c>
      <c r="D162">
        <f t="shared" ca="1" si="20"/>
        <v>16</v>
      </c>
      <c r="E162">
        <f t="shared" ca="1" si="21"/>
        <v>2</v>
      </c>
      <c r="F162">
        <f t="shared" ca="1" si="22"/>
        <v>0</v>
      </c>
      <c r="G162">
        <f t="shared" ca="1" si="23"/>
        <v>4</v>
      </c>
      <c r="H162">
        <f t="shared" ca="1" si="30"/>
        <v>0</v>
      </c>
      <c r="I162">
        <f t="shared" ca="1" si="31"/>
        <v>0</v>
      </c>
      <c r="J162" s="394" t="s">
        <v>103</v>
      </c>
      <c r="K162" s="162" t="str">
        <f t="shared" ca="1" si="24"/>
        <v>1.16.2.0.4.</v>
      </c>
      <c r="L162" s="395" t="s">
        <v>236</v>
      </c>
      <c r="M162" s="395" t="s">
        <v>498</v>
      </c>
      <c r="N162" s="397" t="s">
        <v>499</v>
      </c>
      <c r="O162" s="398" t="s">
        <v>259</v>
      </c>
      <c r="P162" s="399">
        <v>1</v>
      </c>
      <c r="Q162" s="228"/>
      <c r="R162" s="231" t="s">
        <v>7</v>
      </c>
      <c r="S162" s="121">
        <f t="shared" si="32"/>
        <v>0</v>
      </c>
      <c r="T162" s="98">
        <f t="shared" si="33"/>
        <v>0</v>
      </c>
      <c r="U162" s="13" t="str">
        <f t="shared" si="27"/>
        <v>SEM VALOR</v>
      </c>
      <c r="V162" s="4" t="str">
        <f ca="1">IF(OR($A162=0,$A162="S",$A162&gt;CFF!$A$9),"",MAX(V$12:OFFSET(V162,-1,0))+1)</f>
        <v/>
      </c>
      <c r="W162" s="9" t="str">
        <f t="shared" si="28"/>
        <v>SEE/MG-150008</v>
      </c>
      <c r="X162" s="4" t="e">
        <f t="shared" ca="1" si="34"/>
        <v>#REF!</v>
      </c>
      <c r="Y162" s="121">
        <v>357.32817999999997</v>
      </c>
      <c r="Z162" s="132">
        <f ca="1">ROUND(IF(ISNUMBER(R162),R162,IF(LEFT(R162,3)="BDI",HLOOKUP(R162,DADOS!$T$37:$X$38,2,FALSE),0)),15-11*$X$5)</f>
        <v>0.27639999999999998</v>
      </c>
      <c r="AA162" s="4"/>
    </row>
    <row r="163" spans="1:27" x14ac:dyDescent="0.2">
      <c r="A163">
        <f t="shared" si="17"/>
        <v>3</v>
      </c>
      <c r="B163">
        <f t="shared" ca="1" si="18"/>
        <v>14</v>
      </c>
      <c r="C163">
        <f t="shared" ca="1" si="19"/>
        <v>1</v>
      </c>
      <c r="D163">
        <f t="shared" ca="1" si="20"/>
        <v>16</v>
      </c>
      <c r="E163">
        <f t="shared" ca="1" si="21"/>
        <v>3</v>
      </c>
      <c r="F163">
        <f t="shared" ca="1" si="22"/>
        <v>0</v>
      </c>
      <c r="G163">
        <f t="shared" ca="1" si="23"/>
        <v>0</v>
      </c>
      <c r="H163">
        <f t="shared" ca="1" si="30"/>
        <v>40</v>
      </c>
      <c r="I163">
        <f t="shared" ca="1" si="31"/>
        <v>14</v>
      </c>
      <c r="J163" s="394" t="s">
        <v>101</v>
      </c>
      <c r="K163" s="162" t="str">
        <f t="shared" ca="1" si="24"/>
        <v>1.16.3.</v>
      </c>
      <c r="L163" s="395"/>
      <c r="M163" s="395"/>
      <c r="N163" s="397" t="s">
        <v>500</v>
      </c>
      <c r="O163" s="398"/>
      <c r="P163" s="399"/>
      <c r="Q163" s="228"/>
      <c r="R163" s="231" t="s">
        <v>7</v>
      </c>
      <c r="S163" s="121">
        <f t="shared" si="32"/>
        <v>0</v>
      </c>
      <c r="T163" s="98">
        <f t="shared" ca="1" si="33"/>
        <v>0</v>
      </c>
      <c r="U163" s="13" t="str">
        <f t="shared" ca="1" si="27"/>
        <v>SEM VALOR</v>
      </c>
      <c r="V163" s="4" t="str">
        <f ca="1">IF(OR($A163=0,$A163="S",$A163&gt;CFF!$A$9),"",MAX(V$12:OFFSET(V163,-1,0))+1)</f>
        <v/>
      </c>
      <c r="W163" s="9" t="b">
        <f t="shared" si="28"/>
        <v>0</v>
      </c>
      <c r="X163" s="4" t="str">
        <f t="shared" ca="1" si="34"/>
        <v>X</v>
      </c>
      <c r="Y163" s="121">
        <v>0</v>
      </c>
      <c r="Z163" s="132">
        <f ca="1">ROUND(IF(ISNUMBER(R163),R163,IF(LEFT(R163,3)="BDI",HLOOKUP(R163,DADOS!$T$37:$X$38,2,FALSE),0)),15-11*$X$5)</f>
        <v>0.27639999999999998</v>
      </c>
      <c r="AA163" s="4"/>
    </row>
    <row r="164" spans="1:27" x14ac:dyDescent="0.2">
      <c r="A164">
        <f t="shared" si="17"/>
        <v>4</v>
      </c>
      <c r="B164">
        <f t="shared" ca="1" si="18"/>
        <v>13</v>
      </c>
      <c r="C164">
        <f t="shared" ca="1" si="19"/>
        <v>1</v>
      </c>
      <c r="D164">
        <f t="shared" ca="1" si="20"/>
        <v>16</v>
      </c>
      <c r="E164">
        <f t="shared" ca="1" si="21"/>
        <v>3</v>
      </c>
      <c r="F164">
        <f t="shared" ca="1" si="22"/>
        <v>1</v>
      </c>
      <c r="G164">
        <f t="shared" ca="1" si="23"/>
        <v>0</v>
      </c>
      <c r="H164">
        <f t="shared" ca="1" si="30"/>
        <v>13</v>
      </c>
      <c r="I164" t="e">
        <f t="shared" ca="1" si="31"/>
        <v>#N/A</v>
      </c>
      <c r="J164" s="394" t="s">
        <v>102</v>
      </c>
      <c r="K164" s="162" t="str">
        <f t="shared" ca="1" si="24"/>
        <v>1.16.3.1.</v>
      </c>
      <c r="L164" s="395"/>
      <c r="M164" s="395"/>
      <c r="N164" s="397" t="s">
        <v>501</v>
      </c>
      <c r="O164" s="398"/>
      <c r="P164" s="399"/>
      <c r="Q164" s="228"/>
      <c r="R164" s="231" t="s">
        <v>7</v>
      </c>
      <c r="S164" s="121">
        <f t="shared" si="32"/>
        <v>0</v>
      </c>
      <c r="T164" s="98">
        <f t="shared" ca="1" si="33"/>
        <v>0</v>
      </c>
      <c r="U164" s="13" t="str">
        <f t="shared" ca="1" si="27"/>
        <v>SEM VALOR</v>
      </c>
      <c r="V164" s="4" t="str">
        <f ca="1">IF(OR($A164=0,$A164="S",$A164&gt;CFF!$A$9),"",MAX(V$12:OFFSET(V164,-1,0))+1)</f>
        <v/>
      </c>
      <c r="W164" s="9" t="b">
        <f t="shared" si="28"/>
        <v>0</v>
      </c>
      <c r="X164" s="4" t="str">
        <f t="shared" ca="1" si="34"/>
        <v>X</v>
      </c>
      <c r="Y164" s="121">
        <v>0</v>
      </c>
      <c r="Z164" s="132">
        <f ca="1">ROUND(IF(ISNUMBER(R164),R164,IF(LEFT(R164,3)="BDI",HLOOKUP(R164,DADOS!$T$37:$X$38,2,FALSE),0)),15-11*$X$5)</f>
        <v>0.27639999999999998</v>
      </c>
      <c r="AA164" s="4"/>
    </row>
    <row r="165" spans="1:27" x14ac:dyDescent="0.2">
      <c r="A165" t="str">
        <f t="shared" si="17"/>
        <v>S</v>
      </c>
      <c r="B165">
        <f t="shared" si="18"/>
        <v>0</v>
      </c>
      <c r="C165">
        <f t="shared" ca="1" si="19"/>
        <v>1</v>
      </c>
      <c r="D165">
        <f t="shared" ca="1" si="20"/>
        <v>16</v>
      </c>
      <c r="E165">
        <f t="shared" ca="1" si="21"/>
        <v>3</v>
      </c>
      <c r="F165">
        <f t="shared" ca="1" si="22"/>
        <v>1</v>
      </c>
      <c r="G165">
        <f t="shared" ca="1" si="23"/>
        <v>1</v>
      </c>
      <c r="H165">
        <f t="shared" ca="1" si="30"/>
        <v>0</v>
      </c>
      <c r="I165">
        <f t="shared" ca="1" si="31"/>
        <v>0</v>
      </c>
      <c r="J165" s="394" t="s">
        <v>103</v>
      </c>
      <c r="K165" s="162" t="str">
        <f t="shared" ca="1" si="24"/>
        <v>1.16.3.1.1.</v>
      </c>
      <c r="L165" s="395" t="s">
        <v>236</v>
      </c>
      <c r="M165" s="395" t="s">
        <v>502</v>
      </c>
      <c r="N165" s="397" t="s">
        <v>503</v>
      </c>
      <c r="O165" s="398" t="s">
        <v>275</v>
      </c>
      <c r="P165" s="399">
        <v>569.20000000000005</v>
      </c>
      <c r="Q165" s="228"/>
      <c r="R165" s="231" t="s">
        <v>7</v>
      </c>
      <c r="S165" s="121">
        <f t="shared" si="32"/>
        <v>0</v>
      </c>
      <c r="T165" s="98">
        <f t="shared" si="33"/>
        <v>0</v>
      </c>
      <c r="U165" s="13" t="str">
        <f t="shared" si="27"/>
        <v>SEM VALOR</v>
      </c>
      <c r="V165" s="4" t="str">
        <f ca="1">IF(OR($A165=0,$A165="S",$A165&gt;CFF!$A$9),"",MAX(V$12:OFFSET(V165,-1,0))+1)</f>
        <v/>
      </c>
      <c r="W165" s="9" t="str">
        <f t="shared" si="28"/>
        <v>SEE/MG-150009</v>
      </c>
      <c r="X165" s="4" t="e">
        <f t="shared" ca="1" si="34"/>
        <v>#REF!</v>
      </c>
      <c r="Y165" s="121">
        <v>11.576948</v>
      </c>
      <c r="Z165" s="132">
        <f ca="1">ROUND(IF(ISNUMBER(R165),R165,IF(LEFT(R165,3)="BDI",HLOOKUP(R165,DADOS!$T$37:$X$38,2,FALSE),0)),15-11*$X$5)</f>
        <v>0.27639999999999998</v>
      </c>
      <c r="AA165" s="4"/>
    </row>
    <row r="166" spans="1:27" x14ac:dyDescent="0.2">
      <c r="A166" t="str">
        <f t="shared" si="17"/>
        <v>S</v>
      </c>
      <c r="B166">
        <f t="shared" si="18"/>
        <v>0</v>
      </c>
      <c r="C166">
        <f t="shared" ca="1" si="19"/>
        <v>1</v>
      </c>
      <c r="D166">
        <f t="shared" ca="1" si="20"/>
        <v>16</v>
      </c>
      <c r="E166">
        <f t="shared" ca="1" si="21"/>
        <v>3</v>
      </c>
      <c r="F166">
        <f t="shared" ca="1" si="22"/>
        <v>1</v>
      </c>
      <c r="G166">
        <f t="shared" ca="1" si="23"/>
        <v>2</v>
      </c>
      <c r="H166">
        <f t="shared" ca="1" si="30"/>
        <v>0</v>
      </c>
      <c r="I166">
        <f t="shared" ca="1" si="31"/>
        <v>0</v>
      </c>
      <c r="J166" s="394" t="s">
        <v>103</v>
      </c>
      <c r="K166" s="162" t="str">
        <f t="shared" ca="1" si="24"/>
        <v>1.16.3.1.2.</v>
      </c>
      <c r="L166" s="395" t="s">
        <v>236</v>
      </c>
      <c r="M166" s="395" t="s">
        <v>504</v>
      </c>
      <c r="N166" s="397" t="s">
        <v>505</v>
      </c>
      <c r="O166" s="398" t="s">
        <v>275</v>
      </c>
      <c r="P166" s="399">
        <v>143.5</v>
      </c>
      <c r="Q166" s="228"/>
      <c r="R166" s="231" t="s">
        <v>7</v>
      </c>
      <c r="S166" s="121">
        <f t="shared" si="32"/>
        <v>0</v>
      </c>
      <c r="T166" s="98">
        <f t="shared" si="33"/>
        <v>0</v>
      </c>
      <c r="U166" s="13" t="str">
        <f t="shared" si="27"/>
        <v>SEM VALOR</v>
      </c>
      <c r="V166" s="4" t="str">
        <f ca="1">IF(OR($A166=0,$A166="S",$A166&gt;CFF!$A$9),"",MAX(V$12:OFFSET(V166,-1,0))+1)</f>
        <v/>
      </c>
      <c r="W166" s="9" t="str">
        <f t="shared" si="28"/>
        <v>SEE/MG-150010</v>
      </c>
      <c r="X166" s="4" t="e">
        <f t="shared" ca="1" si="34"/>
        <v>#REF!</v>
      </c>
      <c r="Y166" s="121">
        <v>15.406148</v>
      </c>
      <c r="Z166" s="132">
        <f ca="1">ROUND(IF(ISNUMBER(R166),R166,IF(LEFT(R166,3)="BDI",HLOOKUP(R166,DADOS!$T$37:$X$38,2,FALSE),0)),15-11*$X$5)</f>
        <v>0.27639999999999998</v>
      </c>
      <c r="AA166" s="4"/>
    </row>
    <row r="167" spans="1:27" x14ac:dyDescent="0.2">
      <c r="A167" t="str">
        <f t="shared" ref="A167:A208" si="35">CHOOSE(1+LOG(1+2*(J167="Meta")+4*(J167="Nível 2")+8*(J167="Nível 3")+16*(J167="Nível 4")+32*(J167="Serviço"),2),0,1,2,3,4,"S")</f>
        <v>S</v>
      </c>
      <c r="B167">
        <f t="shared" ref="B167:B208" si="36">IF(OR(A167="S",A167=0),0,IF(ISERROR(I167),H167,SMALL(H167:I167,1)))</f>
        <v>0</v>
      </c>
      <c r="C167">
        <f t="shared" ref="C167:C208" ca="1" si="37">IF($A167=1,OFFSET(C167,-1,0)+1,OFFSET(C167,-1,0))</f>
        <v>1</v>
      </c>
      <c r="D167">
        <f t="shared" ref="D167:D208" ca="1" si="38">IF($A167=1,0,IF($A167=2,OFFSET(D167,-1,0)+1,OFFSET(D167,-1,0)))</f>
        <v>16</v>
      </c>
      <c r="E167">
        <f t="shared" ref="E167:E208" ca="1" si="39">IF(AND($A167&lt;=2,$A167&lt;&gt;0),0,IF($A167=3,OFFSET(E167,-1,0)+1,OFFSET(E167,-1,0)))</f>
        <v>3</v>
      </c>
      <c r="F167">
        <f t="shared" ref="F167:F208" ca="1" si="40">IF(AND($A167&lt;=3,$A167&lt;&gt;0),0,IF($A167=4,OFFSET(F167,-1,0)+1,OFFSET(F167,-1,0)))</f>
        <v>1</v>
      </c>
      <c r="G167">
        <f t="shared" ref="G167:G208" ca="1" si="41">IF(AND($A167&lt;=4,$A167&lt;&gt;0),0,IF($A167="S",OFFSET(G167,-1,0)+1,OFFSET(G167,-1,0)))</f>
        <v>3</v>
      </c>
      <c r="H167">
        <f t="shared" ca="1" si="30"/>
        <v>0</v>
      </c>
      <c r="I167">
        <f t="shared" ca="1" si="31"/>
        <v>0</v>
      </c>
      <c r="J167" s="394" t="s">
        <v>103</v>
      </c>
      <c r="K167" s="162" t="str">
        <f t="shared" ref="K167:K208" ca="1" si="42">IF($A167=0,"-",CONCATENATE(C167&amp;".",IF(AND($A$5&gt;=2,$A167&gt;=2),D167&amp;".",""),IF(AND($A$5&gt;=3,$A167&gt;=3),E167&amp;".",""),IF(AND($A$5&gt;=4,$A167&gt;=4),F167&amp;".",""),IF($A167="S",G167&amp;".","")))</f>
        <v>1.16.3.1.3.</v>
      </c>
      <c r="L167" s="395" t="s">
        <v>347</v>
      </c>
      <c r="M167" s="395" t="s">
        <v>562</v>
      </c>
      <c r="N167" s="397" t="s">
        <v>506</v>
      </c>
      <c r="O167" s="398" t="s">
        <v>275</v>
      </c>
      <c r="P167" s="399">
        <v>155.80000000000001</v>
      </c>
      <c r="Q167" s="228"/>
      <c r="R167" s="231" t="s">
        <v>7</v>
      </c>
      <c r="S167" s="121">
        <f t="shared" si="32"/>
        <v>0</v>
      </c>
      <c r="T167" s="98">
        <f t="shared" si="33"/>
        <v>0</v>
      </c>
      <c r="U167" s="13" t="str">
        <f t="shared" ref="U167:U208" si="43">IF($J167="","",IF($N167="","DESCRIÇÃO",IF(AND($J167="Serviço",$O167=""),"UNIDADE",IF($T167&lt;=0,"SEM VALOR",IF(AND($Y167&lt;&gt;"",$Q167&gt;$Y167),"ACIMA REF.","")))))</f>
        <v>SEM VALOR</v>
      </c>
      <c r="V167" s="4" t="str">
        <f ca="1">IF(OR($A167=0,$A167="S",$A167&gt;CFF!$A$9),"",MAX(V$12:OFFSET(V167,-1,0))+1)</f>
        <v/>
      </c>
      <c r="W167" s="9" t="str">
        <f t="shared" ref="W167:W208" si="44">IF(AND($J167="Serviço",$M167&lt;&gt;""),IF($L167="",$M167,CONCATENATE($L167,"-",$M167)))</f>
        <v>SINAPI-93008</v>
      </c>
      <c r="X167" s="4" t="e">
        <f t="shared" ca="1" si="34"/>
        <v>#REF!</v>
      </c>
      <c r="Y167" s="121">
        <v>21.25206</v>
      </c>
      <c r="Z167" s="132">
        <f ca="1">ROUND(IF(ISNUMBER(R167),R167,IF(LEFT(R167,3)="BDI",HLOOKUP(R167,DADOS!$T$37:$X$38,2,FALSE),0)),15-11*$X$5)</f>
        <v>0.27639999999999998</v>
      </c>
      <c r="AA167" s="4"/>
    </row>
    <row r="168" spans="1:27" x14ac:dyDescent="0.2">
      <c r="A168" t="str">
        <f t="shared" si="35"/>
        <v>S</v>
      </c>
      <c r="B168">
        <f t="shared" si="36"/>
        <v>0</v>
      </c>
      <c r="C168">
        <f t="shared" ca="1" si="37"/>
        <v>1</v>
      </c>
      <c r="D168">
        <f t="shared" ca="1" si="38"/>
        <v>16</v>
      </c>
      <c r="E168">
        <f t="shared" ca="1" si="39"/>
        <v>3</v>
      </c>
      <c r="F168">
        <f t="shared" ca="1" si="40"/>
        <v>1</v>
      </c>
      <c r="G168">
        <f t="shared" ca="1" si="41"/>
        <v>4</v>
      </c>
      <c r="H168">
        <f t="shared" ca="1" si="30"/>
        <v>0</v>
      </c>
      <c r="I168">
        <f t="shared" ca="1" si="31"/>
        <v>0</v>
      </c>
      <c r="J168" s="394" t="s">
        <v>103</v>
      </c>
      <c r="K168" s="162" t="str">
        <f t="shared" ca="1" si="42"/>
        <v>1.16.3.1.4.</v>
      </c>
      <c r="L168" s="395" t="s">
        <v>347</v>
      </c>
      <c r="M168" s="395" t="s">
        <v>563</v>
      </c>
      <c r="N168" s="397" t="s">
        <v>507</v>
      </c>
      <c r="O168" s="398" t="s">
        <v>275</v>
      </c>
      <c r="P168" s="399">
        <v>21.6</v>
      </c>
      <c r="Q168" s="228"/>
      <c r="R168" s="231" t="s">
        <v>7</v>
      </c>
      <c r="S168" s="121">
        <f t="shared" si="32"/>
        <v>0</v>
      </c>
      <c r="T168" s="98">
        <f t="shared" si="33"/>
        <v>0</v>
      </c>
      <c r="U168" s="13" t="str">
        <f t="shared" si="43"/>
        <v>SEM VALOR</v>
      </c>
      <c r="V168" s="4" t="str">
        <f ca="1">IF(OR($A168=0,$A168="S",$A168&gt;CFF!$A$9),"",MAX(V$12:OFFSET(V168,-1,0))+1)</f>
        <v/>
      </c>
      <c r="W168" s="9" t="str">
        <f t="shared" si="44"/>
        <v>SINAPI-93009</v>
      </c>
      <c r="X168" s="4" t="e">
        <f t="shared" ca="1" si="34"/>
        <v>#REF!</v>
      </c>
      <c r="Y168" s="121">
        <v>32.190807999999997</v>
      </c>
      <c r="Z168" s="132">
        <f ca="1">ROUND(IF(ISNUMBER(R168),R168,IF(LEFT(R168,3)="BDI",HLOOKUP(R168,DADOS!$T$37:$X$38,2,FALSE),0)),15-11*$X$5)</f>
        <v>0.27639999999999998</v>
      </c>
      <c r="AA168" s="4"/>
    </row>
    <row r="169" spans="1:27" x14ac:dyDescent="0.2">
      <c r="A169" t="str">
        <f t="shared" si="35"/>
        <v>S</v>
      </c>
      <c r="B169">
        <f t="shared" si="36"/>
        <v>0</v>
      </c>
      <c r="C169">
        <f t="shared" ca="1" si="37"/>
        <v>1</v>
      </c>
      <c r="D169">
        <f t="shared" ca="1" si="38"/>
        <v>16</v>
      </c>
      <c r="E169">
        <f t="shared" ca="1" si="39"/>
        <v>3</v>
      </c>
      <c r="F169">
        <f t="shared" ca="1" si="40"/>
        <v>1</v>
      </c>
      <c r="G169">
        <f t="shared" ca="1" si="41"/>
        <v>5</v>
      </c>
      <c r="H169">
        <f t="shared" ca="1" si="30"/>
        <v>0</v>
      </c>
      <c r="I169">
        <f t="shared" ca="1" si="31"/>
        <v>0</v>
      </c>
      <c r="J169" s="394" t="s">
        <v>103</v>
      </c>
      <c r="K169" s="162" t="str">
        <f t="shared" ca="1" si="42"/>
        <v>1.16.3.1.5.</v>
      </c>
      <c r="L169" s="395" t="s">
        <v>347</v>
      </c>
      <c r="M169" s="395" t="s">
        <v>564</v>
      </c>
      <c r="N169" s="397" t="s">
        <v>508</v>
      </c>
      <c r="O169" s="398" t="s">
        <v>275</v>
      </c>
      <c r="P169" s="399">
        <v>58.1</v>
      </c>
      <c r="Q169" s="228"/>
      <c r="R169" s="231" t="s">
        <v>7</v>
      </c>
      <c r="S169" s="121">
        <f t="shared" si="32"/>
        <v>0</v>
      </c>
      <c r="T169" s="98">
        <f t="shared" si="33"/>
        <v>0</v>
      </c>
      <c r="U169" s="13" t="str">
        <f t="shared" si="43"/>
        <v>SEM VALOR</v>
      </c>
      <c r="V169" s="4" t="str">
        <f ca="1">IF(OR($A169=0,$A169="S",$A169&gt;CFF!$A$9),"",MAX(V$12:OFFSET(V169,-1,0))+1)</f>
        <v/>
      </c>
      <c r="W169" s="9" t="str">
        <f t="shared" si="44"/>
        <v>SINAPI-93011</v>
      </c>
      <c r="X169" s="4" t="e">
        <f t="shared" ca="1" si="34"/>
        <v>#REF!</v>
      </c>
      <c r="Y169" s="121">
        <v>55.842500000000001</v>
      </c>
      <c r="Z169" s="132">
        <f ca="1">ROUND(IF(ISNUMBER(R169),R169,IF(LEFT(R169,3)="BDI",HLOOKUP(R169,DADOS!$T$37:$X$38,2,FALSE),0)),15-11*$X$5)</f>
        <v>0.27639999999999998</v>
      </c>
      <c r="AA169" s="4"/>
    </row>
    <row r="170" spans="1:27" x14ac:dyDescent="0.2">
      <c r="A170" t="str">
        <f t="shared" si="35"/>
        <v>S</v>
      </c>
      <c r="B170">
        <f t="shared" si="36"/>
        <v>0</v>
      </c>
      <c r="C170">
        <f t="shared" ca="1" si="37"/>
        <v>1</v>
      </c>
      <c r="D170">
        <f t="shared" ca="1" si="38"/>
        <v>16</v>
      </c>
      <c r="E170">
        <f t="shared" ca="1" si="39"/>
        <v>3</v>
      </c>
      <c r="F170">
        <f t="shared" ca="1" si="40"/>
        <v>1</v>
      </c>
      <c r="G170">
        <f t="shared" ca="1" si="41"/>
        <v>6</v>
      </c>
      <c r="H170">
        <f t="shared" ca="1" si="30"/>
        <v>0</v>
      </c>
      <c r="I170">
        <f t="shared" ca="1" si="31"/>
        <v>0</v>
      </c>
      <c r="J170" s="394" t="s">
        <v>103</v>
      </c>
      <c r="K170" s="162" t="str">
        <f t="shared" ca="1" si="42"/>
        <v>1.16.3.1.6.</v>
      </c>
      <c r="L170" s="395" t="s">
        <v>347</v>
      </c>
      <c r="M170" s="395" t="s">
        <v>565</v>
      </c>
      <c r="N170" s="397" t="s">
        <v>509</v>
      </c>
      <c r="O170" s="398" t="s">
        <v>275</v>
      </c>
      <c r="P170" s="399">
        <v>30.9</v>
      </c>
      <c r="Q170" s="228"/>
      <c r="R170" s="231" t="s">
        <v>7</v>
      </c>
      <c r="S170" s="121">
        <f t="shared" si="32"/>
        <v>0</v>
      </c>
      <c r="T170" s="98">
        <f t="shared" si="33"/>
        <v>0</v>
      </c>
      <c r="U170" s="13" t="str">
        <f t="shared" si="43"/>
        <v>SEM VALOR</v>
      </c>
      <c r="V170" s="4" t="str">
        <f ca="1">IF(OR($A170=0,$A170="S",$A170&gt;CFF!$A$9),"",MAX(V$12:OFFSET(V170,-1,0))+1)</f>
        <v/>
      </c>
      <c r="W170" s="9" t="str">
        <f t="shared" si="44"/>
        <v>SINAPI-93012</v>
      </c>
      <c r="X170" s="4" t="e">
        <f t="shared" ca="1" si="34"/>
        <v>#REF!</v>
      </c>
      <c r="Y170" s="121">
        <v>85.352868000000001</v>
      </c>
      <c r="Z170" s="132">
        <f ca="1">ROUND(IF(ISNUMBER(R170),R170,IF(LEFT(R170,3)="BDI",HLOOKUP(R170,DADOS!$T$37:$X$38,2,FALSE),0)),15-11*$X$5)</f>
        <v>0.27639999999999998</v>
      </c>
      <c r="AA170" s="4"/>
    </row>
    <row r="171" spans="1:27" ht="25.5" x14ac:dyDescent="0.2">
      <c r="A171" t="str">
        <f t="shared" si="35"/>
        <v>S</v>
      </c>
      <c r="B171">
        <f t="shared" si="36"/>
        <v>0</v>
      </c>
      <c r="C171">
        <f t="shared" ca="1" si="37"/>
        <v>1</v>
      </c>
      <c r="D171">
        <f t="shared" ca="1" si="38"/>
        <v>16</v>
      </c>
      <c r="E171">
        <f t="shared" ca="1" si="39"/>
        <v>3</v>
      </c>
      <c r="F171">
        <f t="shared" ca="1" si="40"/>
        <v>1</v>
      </c>
      <c r="G171">
        <f t="shared" ca="1" si="41"/>
        <v>7</v>
      </c>
      <c r="H171">
        <f t="shared" ca="1" si="30"/>
        <v>0</v>
      </c>
      <c r="I171">
        <f t="shared" ca="1" si="31"/>
        <v>0</v>
      </c>
      <c r="J171" s="394" t="s">
        <v>103</v>
      </c>
      <c r="K171" s="162" t="str">
        <f t="shared" ca="1" si="42"/>
        <v>1.16.3.1.7.</v>
      </c>
      <c r="L171" s="395" t="s">
        <v>347</v>
      </c>
      <c r="M171" s="395" t="s">
        <v>566</v>
      </c>
      <c r="N171" s="397" t="s">
        <v>510</v>
      </c>
      <c r="O171" s="398" t="s">
        <v>259</v>
      </c>
      <c r="P171" s="399">
        <v>9</v>
      </c>
      <c r="Q171" s="228"/>
      <c r="R171" s="231" t="s">
        <v>7</v>
      </c>
      <c r="S171" s="121">
        <f t="shared" si="32"/>
        <v>0</v>
      </c>
      <c r="T171" s="98">
        <f t="shared" si="33"/>
        <v>0</v>
      </c>
      <c r="U171" s="13" t="str">
        <f t="shared" si="43"/>
        <v>SEM VALOR</v>
      </c>
      <c r="V171" s="4" t="str">
        <f ca="1">IF(OR($A171=0,$A171="S",$A171&gt;CFF!$A$9),"",MAX(V$12:OFFSET(V171,-1,0))+1)</f>
        <v/>
      </c>
      <c r="W171" s="9" t="str">
        <f t="shared" si="44"/>
        <v>SINAPI-92662</v>
      </c>
      <c r="X171" s="4" t="e">
        <f t="shared" ca="1" si="34"/>
        <v>#REF!</v>
      </c>
      <c r="Y171" s="121">
        <v>46.537543999999997</v>
      </c>
      <c r="Z171" s="132">
        <f ca="1">ROUND(IF(ISNUMBER(R171),R171,IF(LEFT(R171,3)="BDI",HLOOKUP(R171,DADOS!$T$37:$X$38,2,FALSE),0)),15-11*$X$5)</f>
        <v>0.27639999999999998</v>
      </c>
      <c r="AA171" s="4"/>
    </row>
    <row r="172" spans="1:27" ht="25.5" x14ac:dyDescent="0.2">
      <c r="A172" t="str">
        <f t="shared" si="35"/>
        <v>S</v>
      </c>
      <c r="B172">
        <f t="shared" si="36"/>
        <v>0</v>
      </c>
      <c r="C172">
        <f t="shared" ca="1" si="37"/>
        <v>1</v>
      </c>
      <c r="D172">
        <f t="shared" ca="1" si="38"/>
        <v>16</v>
      </c>
      <c r="E172">
        <f t="shared" ca="1" si="39"/>
        <v>3</v>
      </c>
      <c r="F172">
        <f t="shared" ca="1" si="40"/>
        <v>1</v>
      </c>
      <c r="G172">
        <f t="shared" ca="1" si="41"/>
        <v>8</v>
      </c>
      <c r="H172">
        <f t="shared" ca="1" si="30"/>
        <v>0</v>
      </c>
      <c r="I172">
        <f t="shared" ca="1" si="31"/>
        <v>0</v>
      </c>
      <c r="J172" s="394" t="s">
        <v>103</v>
      </c>
      <c r="K172" s="162" t="str">
        <f t="shared" ca="1" si="42"/>
        <v>1.16.3.1.8.</v>
      </c>
      <c r="L172" s="395" t="s">
        <v>347</v>
      </c>
      <c r="M172" s="395" t="s">
        <v>567</v>
      </c>
      <c r="N172" s="397" t="s">
        <v>511</v>
      </c>
      <c r="O172" s="398" t="s">
        <v>259</v>
      </c>
      <c r="P172" s="399">
        <v>2</v>
      </c>
      <c r="Q172" s="228"/>
      <c r="R172" s="231" t="s">
        <v>7</v>
      </c>
      <c r="S172" s="121">
        <f t="shared" si="32"/>
        <v>0</v>
      </c>
      <c r="T172" s="98">
        <f t="shared" si="33"/>
        <v>0</v>
      </c>
      <c r="U172" s="13" t="str">
        <f t="shared" si="43"/>
        <v>SEM VALOR</v>
      </c>
      <c r="V172" s="4" t="str">
        <f ca="1">IF(OR($A172=0,$A172="S",$A172&gt;CFF!$A$9),"",MAX(V$12:OFFSET(V172,-1,0))+1)</f>
        <v/>
      </c>
      <c r="W172" s="9" t="str">
        <f t="shared" si="44"/>
        <v>SINAPI-92693</v>
      </c>
      <c r="X172" s="4" t="e">
        <f t="shared" ca="1" si="34"/>
        <v>#REF!</v>
      </c>
      <c r="Y172" s="121">
        <v>16.159223999999998</v>
      </c>
      <c r="Z172" s="132">
        <f ca="1">ROUND(IF(ISNUMBER(R172),R172,IF(LEFT(R172,3)="BDI",HLOOKUP(R172,DADOS!$T$37:$X$38,2,FALSE),0)),15-11*$X$5)</f>
        <v>0.27639999999999998</v>
      </c>
      <c r="AA172" s="4"/>
    </row>
    <row r="173" spans="1:27" x14ac:dyDescent="0.2">
      <c r="A173" t="str">
        <f t="shared" si="35"/>
        <v>S</v>
      </c>
      <c r="B173">
        <f t="shared" si="36"/>
        <v>0</v>
      </c>
      <c r="C173">
        <f t="shared" ca="1" si="37"/>
        <v>1</v>
      </c>
      <c r="D173">
        <f t="shared" ca="1" si="38"/>
        <v>16</v>
      </c>
      <c r="E173">
        <f t="shared" ca="1" si="39"/>
        <v>3</v>
      </c>
      <c r="F173">
        <f t="shared" ca="1" si="40"/>
        <v>1</v>
      </c>
      <c r="G173">
        <f t="shared" ca="1" si="41"/>
        <v>9</v>
      </c>
      <c r="H173">
        <f t="shared" ca="1" si="30"/>
        <v>0</v>
      </c>
      <c r="I173">
        <f t="shared" ca="1" si="31"/>
        <v>0</v>
      </c>
      <c r="J173" s="394" t="s">
        <v>103</v>
      </c>
      <c r="K173" s="162" t="str">
        <f t="shared" ca="1" si="42"/>
        <v>1.16.3.1.9.</v>
      </c>
      <c r="L173" s="395" t="s">
        <v>347</v>
      </c>
      <c r="M173" s="395" t="s">
        <v>568</v>
      </c>
      <c r="N173" s="397" t="s">
        <v>512</v>
      </c>
      <c r="O173" s="398" t="s">
        <v>259</v>
      </c>
      <c r="P173" s="399">
        <v>14</v>
      </c>
      <c r="Q173" s="228"/>
      <c r="R173" s="231" t="s">
        <v>7</v>
      </c>
      <c r="S173" s="121">
        <f t="shared" si="32"/>
        <v>0</v>
      </c>
      <c r="T173" s="98">
        <f t="shared" si="33"/>
        <v>0</v>
      </c>
      <c r="U173" s="13" t="str">
        <f t="shared" si="43"/>
        <v>SEM VALOR</v>
      </c>
      <c r="V173" s="4" t="str">
        <f ca="1">IF(OR($A173=0,$A173="S",$A173&gt;CFF!$A$9),"",MAX(V$12:OFFSET(V173,-1,0))+1)</f>
        <v/>
      </c>
      <c r="W173" s="9" t="str">
        <f t="shared" si="44"/>
        <v>SINAPI-100557</v>
      </c>
      <c r="X173" s="4" t="e">
        <f t="shared" ca="1" si="34"/>
        <v>#REF!</v>
      </c>
      <c r="Y173" s="121">
        <v>56.442408</v>
      </c>
      <c r="Z173" s="132">
        <f ca="1">ROUND(IF(ISNUMBER(R173),R173,IF(LEFT(R173,3)="BDI",HLOOKUP(R173,DADOS!$T$37:$X$38,2,FALSE),0)),15-11*$X$5)</f>
        <v>0.27639999999999998</v>
      </c>
      <c r="AA173" s="4"/>
    </row>
    <row r="174" spans="1:27" x14ac:dyDescent="0.2">
      <c r="A174" t="str">
        <f t="shared" si="35"/>
        <v>S</v>
      </c>
      <c r="B174">
        <f t="shared" si="36"/>
        <v>0</v>
      </c>
      <c r="C174">
        <f t="shared" ca="1" si="37"/>
        <v>1</v>
      </c>
      <c r="D174">
        <f t="shared" ca="1" si="38"/>
        <v>16</v>
      </c>
      <c r="E174">
        <f t="shared" ca="1" si="39"/>
        <v>3</v>
      </c>
      <c r="F174">
        <f t="shared" ca="1" si="40"/>
        <v>1</v>
      </c>
      <c r="G174">
        <f t="shared" ca="1" si="41"/>
        <v>10</v>
      </c>
      <c r="H174">
        <f t="shared" ca="1" si="30"/>
        <v>0</v>
      </c>
      <c r="I174">
        <f t="shared" ca="1" si="31"/>
        <v>0</v>
      </c>
      <c r="J174" s="394" t="s">
        <v>103</v>
      </c>
      <c r="K174" s="162" t="str">
        <f t="shared" ca="1" si="42"/>
        <v>1.16.3.1.10.</v>
      </c>
      <c r="L174" s="395" t="s">
        <v>236</v>
      </c>
      <c r="M174" s="395" t="s">
        <v>513</v>
      </c>
      <c r="N174" s="397" t="s">
        <v>514</v>
      </c>
      <c r="O174" s="398" t="s">
        <v>259</v>
      </c>
      <c r="P174" s="399">
        <v>5</v>
      </c>
      <c r="Q174" s="228"/>
      <c r="R174" s="231" t="s">
        <v>7</v>
      </c>
      <c r="S174" s="121">
        <f t="shared" si="32"/>
        <v>0</v>
      </c>
      <c r="T174" s="98">
        <f t="shared" si="33"/>
        <v>0</v>
      </c>
      <c r="U174" s="13" t="str">
        <f t="shared" si="43"/>
        <v>SEM VALOR</v>
      </c>
      <c r="V174" s="4" t="str">
        <f ca="1">IF(OR($A174=0,$A174="S",$A174&gt;CFF!$A$9),"",MAX(V$12:OFFSET(V174,-1,0))+1)</f>
        <v/>
      </c>
      <c r="W174" s="9" t="str">
        <f t="shared" si="44"/>
        <v>SEE/MG-150018</v>
      </c>
      <c r="X174" s="4" t="e">
        <f t="shared" ca="1" si="34"/>
        <v>#REF!</v>
      </c>
      <c r="Y174" s="121">
        <v>13.300088000000001</v>
      </c>
      <c r="Z174" s="132">
        <f ca="1">ROUND(IF(ISNUMBER(R174),R174,IF(LEFT(R174,3)="BDI",HLOOKUP(R174,DADOS!$T$37:$X$38,2,FALSE),0)),15-11*$X$5)</f>
        <v>0.27639999999999998</v>
      </c>
      <c r="AA174" s="4"/>
    </row>
    <row r="175" spans="1:27" x14ac:dyDescent="0.2">
      <c r="A175" t="str">
        <f t="shared" si="35"/>
        <v>S</v>
      </c>
      <c r="B175">
        <f t="shared" si="36"/>
        <v>0</v>
      </c>
      <c r="C175">
        <f t="shared" ca="1" si="37"/>
        <v>1</v>
      </c>
      <c r="D175">
        <f t="shared" ca="1" si="38"/>
        <v>16</v>
      </c>
      <c r="E175">
        <f t="shared" ca="1" si="39"/>
        <v>3</v>
      </c>
      <c r="F175">
        <f t="shared" ca="1" si="40"/>
        <v>1</v>
      </c>
      <c r="G175">
        <f t="shared" ca="1" si="41"/>
        <v>11</v>
      </c>
      <c r="H175">
        <f t="shared" ca="1" si="30"/>
        <v>0</v>
      </c>
      <c r="I175">
        <f t="shared" ca="1" si="31"/>
        <v>0</v>
      </c>
      <c r="J175" s="394" t="s">
        <v>103</v>
      </c>
      <c r="K175" s="162" t="str">
        <f t="shared" ca="1" si="42"/>
        <v>1.16.3.1.11.</v>
      </c>
      <c r="L175" s="395" t="s">
        <v>236</v>
      </c>
      <c r="M175" s="395" t="s">
        <v>515</v>
      </c>
      <c r="N175" s="397" t="s">
        <v>516</v>
      </c>
      <c r="O175" s="398" t="s">
        <v>259</v>
      </c>
      <c r="P175" s="399">
        <v>88</v>
      </c>
      <c r="Q175" s="228"/>
      <c r="R175" s="231" t="s">
        <v>7</v>
      </c>
      <c r="S175" s="121">
        <f t="shared" si="32"/>
        <v>0</v>
      </c>
      <c r="T175" s="98">
        <f t="shared" si="33"/>
        <v>0</v>
      </c>
      <c r="U175" s="13" t="str">
        <f t="shared" si="43"/>
        <v>SEM VALOR</v>
      </c>
      <c r="V175" s="4" t="str">
        <f ca="1">IF(OR($A175=0,$A175="S",$A175&gt;CFF!$A$9),"",MAX(V$12:OFFSET(V175,-1,0))+1)</f>
        <v/>
      </c>
      <c r="W175" s="9" t="str">
        <f t="shared" si="44"/>
        <v>SEE/MG-150019</v>
      </c>
      <c r="X175" s="4" t="e">
        <f t="shared" ca="1" si="34"/>
        <v>#REF!</v>
      </c>
      <c r="Y175" s="121">
        <v>10.070796</v>
      </c>
      <c r="Z175" s="132">
        <f ca="1">ROUND(IF(ISNUMBER(R175),R175,IF(LEFT(R175,3)="BDI",HLOOKUP(R175,DADOS!$T$37:$X$38,2,FALSE),0)),15-11*$X$5)</f>
        <v>0.27639999999999998</v>
      </c>
      <c r="AA175" s="4"/>
    </row>
    <row r="176" spans="1:27" x14ac:dyDescent="0.2">
      <c r="A176" t="str">
        <f t="shared" si="35"/>
        <v>S</v>
      </c>
      <c r="B176">
        <f t="shared" si="36"/>
        <v>0</v>
      </c>
      <c r="C176">
        <f t="shared" ca="1" si="37"/>
        <v>1</v>
      </c>
      <c r="D176">
        <f t="shared" ca="1" si="38"/>
        <v>16</v>
      </c>
      <c r="E176">
        <f t="shared" ca="1" si="39"/>
        <v>3</v>
      </c>
      <c r="F176">
        <f t="shared" ca="1" si="40"/>
        <v>1</v>
      </c>
      <c r="G176">
        <f t="shared" ca="1" si="41"/>
        <v>12</v>
      </c>
      <c r="H176">
        <f t="shared" ca="1" si="30"/>
        <v>0</v>
      </c>
      <c r="I176">
        <f t="shared" ca="1" si="31"/>
        <v>0</v>
      </c>
      <c r="J176" s="394" t="s">
        <v>103</v>
      </c>
      <c r="K176" s="162" t="str">
        <f t="shared" ca="1" si="42"/>
        <v>1.16.3.1.12.</v>
      </c>
      <c r="L176" s="395" t="s">
        <v>347</v>
      </c>
      <c r="M176" s="395" t="s">
        <v>569</v>
      </c>
      <c r="N176" s="397" t="s">
        <v>517</v>
      </c>
      <c r="O176" s="398" t="s">
        <v>259</v>
      </c>
      <c r="P176" s="399">
        <v>147</v>
      </c>
      <c r="Q176" s="228"/>
      <c r="R176" s="231" t="s">
        <v>7</v>
      </c>
      <c r="S176" s="121">
        <f t="shared" si="32"/>
        <v>0</v>
      </c>
      <c r="T176" s="98">
        <f t="shared" si="33"/>
        <v>0</v>
      </c>
      <c r="U176" s="13" t="str">
        <f t="shared" si="43"/>
        <v>SEM VALOR</v>
      </c>
      <c r="V176" s="4" t="str">
        <f ca="1">IF(OR($A176=0,$A176="S",$A176&gt;CFF!$A$9),"",MAX(V$12:OFFSET(V176,-1,0))+1)</f>
        <v/>
      </c>
      <c r="W176" s="9" t="str">
        <f t="shared" si="44"/>
        <v>SINAPI-91937</v>
      </c>
      <c r="X176" s="4" t="e">
        <f t="shared" ca="1" si="34"/>
        <v>#REF!</v>
      </c>
      <c r="Y176" s="121">
        <v>12.381080000000001</v>
      </c>
      <c r="Z176" s="132">
        <f ca="1">ROUND(IF(ISNUMBER(R176),R176,IF(LEFT(R176,3)="BDI",HLOOKUP(R176,DADOS!$T$37:$X$38,2,FALSE),0)),15-11*$X$5)</f>
        <v>0.27639999999999998</v>
      </c>
      <c r="AA176" s="4"/>
    </row>
    <row r="177" spans="1:27" x14ac:dyDescent="0.2">
      <c r="A177">
        <f t="shared" si="35"/>
        <v>3</v>
      </c>
      <c r="B177">
        <f t="shared" ca="1" si="36"/>
        <v>14</v>
      </c>
      <c r="C177">
        <f t="shared" ca="1" si="37"/>
        <v>1</v>
      </c>
      <c r="D177">
        <f t="shared" ca="1" si="38"/>
        <v>16</v>
      </c>
      <c r="E177">
        <f t="shared" ca="1" si="39"/>
        <v>4</v>
      </c>
      <c r="F177">
        <f t="shared" ca="1" si="40"/>
        <v>0</v>
      </c>
      <c r="G177">
        <f t="shared" ca="1" si="41"/>
        <v>0</v>
      </c>
      <c r="H177">
        <f t="shared" ca="1" si="30"/>
        <v>26</v>
      </c>
      <c r="I177">
        <f t="shared" ca="1" si="31"/>
        <v>14</v>
      </c>
      <c r="J177" s="394" t="s">
        <v>101</v>
      </c>
      <c r="K177" s="162" t="str">
        <f t="shared" ca="1" si="42"/>
        <v>1.16.4.</v>
      </c>
      <c r="L177" s="395"/>
      <c r="M177" s="395"/>
      <c r="N177" s="397" t="s">
        <v>518</v>
      </c>
      <c r="O177" s="398"/>
      <c r="P177" s="399"/>
      <c r="Q177" s="228"/>
      <c r="R177" s="231" t="s">
        <v>7</v>
      </c>
      <c r="S177" s="121">
        <f t="shared" si="32"/>
        <v>0</v>
      </c>
      <c r="T177" s="98">
        <f t="shared" ca="1" si="33"/>
        <v>0</v>
      </c>
      <c r="U177" s="13" t="str">
        <f t="shared" ca="1" si="43"/>
        <v>SEM VALOR</v>
      </c>
      <c r="V177" s="4" t="str">
        <f ca="1">IF(OR($A177=0,$A177="S",$A177&gt;CFF!$A$9),"",MAX(V$12:OFFSET(V177,-1,0))+1)</f>
        <v/>
      </c>
      <c r="W177" s="9" t="b">
        <f t="shared" si="44"/>
        <v>0</v>
      </c>
      <c r="X177" s="4" t="str">
        <f t="shared" ca="1" si="34"/>
        <v>X</v>
      </c>
      <c r="Y177" s="121">
        <v>0</v>
      </c>
      <c r="Z177" s="132">
        <f ca="1">ROUND(IF(ISNUMBER(R177),R177,IF(LEFT(R177,3)="BDI",HLOOKUP(R177,DADOS!$T$37:$X$38,2,FALSE),0)),15-11*$X$5)</f>
        <v>0.27639999999999998</v>
      </c>
      <c r="AA177" s="4"/>
    </row>
    <row r="178" spans="1:27" x14ac:dyDescent="0.2">
      <c r="A178">
        <f t="shared" si="35"/>
        <v>4</v>
      </c>
      <c r="B178">
        <f t="shared" ca="1" si="36"/>
        <v>13</v>
      </c>
      <c r="C178">
        <f t="shared" ca="1" si="37"/>
        <v>1</v>
      </c>
      <c r="D178">
        <f t="shared" ca="1" si="38"/>
        <v>16</v>
      </c>
      <c r="E178">
        <f t="shared" ca="1" si="39"/>
        <v>4</v>
      </c>
      <c r="F178">
        <f t="shared" ca="1" si="40"/>
        <v>1</v>
      </c>
      <c r="G178">
        <f t="shared" ca="1" si="41"/>
        <v>0</v>
      </c>
      <c r="H178">
        <f t="shared" ca="1" si="30"/>
        <v>13</v>
      </c>
      <c r="I178" t="e">
        <f t="shared" ca="1" si="31"/>
        <v>#N/A</v>
      </c>
      <c r="J178" s="394" t="s">
        <v>102</v>
      </c>
      <c r="K178" s="162" t="str">
        <f t="shared" ca="1" si="42"/>
        <v>1.16.4.1.</v>
      </c>
      <c r="L178" s="395"/>
      <c r="M178" s="395"/>
      <c r="N178" s="397" t="s">
        <v>519</v>
      </c>
      <c r="O178" s="398"/>
      <c r="P178" s="399"/>
      <c r="Q178" s="228"/>
      <c r="R178" s="231" t="s">
        <v>7</v>
      </c>
      <c r="S178" s="121">
        <f t="shared" ref="S178:S209" si="45">IF($A178="S",IF($Q$10="Preço Unitário (R$)",PO.CustoUnitario,ROUND(PO.CustoUnitario*(1+$Z178),15-13*$X$6)),0)</f>
        <v>0</v>
      </c>
      <c r="T178" s="98">
        <f t="shared" ref="T178:T209" ca="1" si="46">IF($A178="S",VTOTAL1,IF($A178=0,0,ROUND(SomaAgrup,15-13*$X$7)))</f>
        <v>0</v>
      </c>
      <c r="U178" s="13" t="str">
        <f t="shared" ca="1" si="43"/>
        <v>SEM VALOR</v>
      </c>
      <c r="V178" s="4" t="str">
        <f ca="1">IF(OR($A178=0,$A178="S",$A178&gt;CFF!$A$9),"",MAX(V$12:OFFSET(V178,-1,0))+1)</f>
        <v/>
      </c>
      <c r="W178" s="9" t="b">
        <f t="shared" si="44"/>
        <v>0</v>
      </c>
      <c r="X178" s="4" t="str">
        <f t="shared" ref="X178:X209" ca="1" si="47">IF(AND(Fonte&lt;&gt;"",Código&lt;&gt;""),MATCH(Fonte&amp;" "&amp;IF(Fonte="sinapi",SUBSTITUTE(SUBSTITUTE(Código,"/00","/"),"/0","/"),Código),INDIRECT("'[Referência "&amp;_xlnm.Database&amp;".xls]Banco'!$a:$a"),0),"X")</f>
        <v>X</v>
      </c>
      <c r="Y178" s="121">
        <v>0</v>
      </c>
      <c r="Z178" s="132">
        <f ca="1">ROUND(IF(ISNUMBER(R178),R178,IF(LEFT(R178,3)="BDI",HLOOKUP(R178,DADOS!$T$37:$X$38,2,FALSE),0)),15-11*$X$5)</f>
        <v>0.27639999999999998</v>
      </c>
      <c r="AA178" s="4"/>
    </row>
    <row r="179" spans="1:27" x14ac:dyDescent="0.2">
      <c r="A179" t="str">
        <f t="shared" si="35"/>
        <v>S</v>
      </c>
      <c r="B179">
        <f t="shared" si="36"/>
        <v>0</v>
      </c>
      <c r="C179">
        <f t="shared" ca="1" si="37"/>
        <v>1</v>
      </c>
      <c r="D179">
        <f t="shared" ca="1" si="38"/>
        <v>16</v>
      </c>
      <c r="E179">
        <f t="shared" ca="1" si="39"/>
        <v>4</v>
      </c>
      <c r="F179">
        <f t="shared" ca="1" si="40"/>
        <v>1</v>
      </c>
      <c r="G179">
        <f t="shared" ca="1" si="41"/>
        <v>1</v>
      </c>
      <c r="H179">
        <f t="shared" ca="1" si="30"/>
        <v>0</v>
      </c>
      <c r="I179">
        <f t="shared" ca="1" si="31"/>
        <v>0</v>
      </c>
      <c r="J179" s="394" t="s">
        <v>103</v>
      </c>
      <c r="K179" s="162" t="str">
        <f t="shared" ca="1" si="42"/>
        <v>1.16.4.1.1.</v>
      </c>
      <c r="L179" s="395" t="s">
        <v>236</v>
      </c>
      <c r="M179" s="395" t="s">
        <v>520</v>
      </c>
      <c r="N179" s="397" t="s">
        <v>551</v>
      </c>
      <c r="O179" s="398" t="s">
        <v>275</v>
      </c>
      <c r="P179" s="399">
        <v>1520</v>
      </c>
      <c r="Q179" s="228"/>
      <c r="R179" s="231" t="s">
        <v>7</v>
      </c>
      <c r="S179" s="121">
        <f t="shared" si="45"/>
        <v>0</v>
      </c>
      <c r="T179" s="98">
        <f t="shared" si="46"/>
        <v>0</v>
      </c>
      <c r="U179" s="13" t="str">
        <f t="shared" si="43"/>
        <v>SEM VALOR</v>
      </c>
      <c r="V179" s="4" t="str">
        <f ca="1">IF(OR($A179=0,$A179="S",$A179&gt;CFF!$A$9),"",MAX(V$12:OFFSET(V179,-1,0))+1)</f>
        <v/>
      </c>
      <c r="W179" s="9" t="str">
        <f t="shared" si="44"/>
        <v>SEE/MG-150021</v>
      </c>
      <c r="X179" s="4" t="e">
        <f t="shared" ca="1" si="47"/>
        <v>#REF!</v>
      </c>
      <c r="Y179" s="121">
        <v>5.8459120000000002</v>
      </c>
      <c r="Z179" s="132">
        <f ca="1">ROUND(IF(ISNUMBER(R179),R179,IF(LEFT(R179,3)="BDI",HLOOKUP(R179,DADOS!$T$37:$X$38,2,FALSE),0)),15-11*$X$5)</f>
        <v>0.27639999999999998</v>
      </c>
      <c r="AA179" s="4"/>
    </row>
    <row r="180" spans="1:27" x14ac:dyDescent="0.2">
      <c r="A180" t="str">
        <f t="shared" si="35"/>
        <v>S</v>
      </c>
      <c r="B180">
        <f t="shared" si="36"/>
        <v>0</v>
      </c>
      <c r="C180">
        <f t="shared" ca="1" si="37"/>
        <v>1</v>
      </c>
      <c r="D180">
        <f t="shared" ca="1" si="38"/>
        <v>16</v>
      </c>
      <c r="E180">
        <f t="shared" ca="1" si="39"/>
        <v>4</v>
      </c>
      <c r="F180">
        <f t="shared" ca="1" si="40"/>
        <v>1</v>
      </c>
      <c r="G180">
        <f t="shared" ca="1" si="41"/>
        <v>2</v>
      </c>
      <c r="H180">
        <f t="shared" ca="1" si="30"/>
        <v>0</v>
      </c>
      <c r="I180">
        <f t="shared" ca="1" si="31"/>
        <v>0</v>
      </c>
      <c r="J180" s="394" t="s">
        <v>103</v>
      </c>
      <c r="K180" s="162" t="str">
        <f t="shared" ca="1" si="42"/>
        <v>1.16.4.1.2.</v>
      </c>
      <c r="L180" s="395" t="s">
        <v>236</v>
      </c>
      <c r="M180" s="395" t="s">
        <v>521</v>
      </c>
      <c r="N180" s="397" t="s">
        <v>552</v>
      </c>
      <c r="O180" s="398" t="s">
        <v>275</v>
      </c>
      <c r="P180" s="399">
        <v>1416.5</v>
      </c>
      <c r="Q180" s="228"/>
      <c r="R180" s="231" t="s">
        <v>7</v>
      </c>
      <c r="S180" s="121">
        <f t="shared" si="45"/>
        <v>0</v>
      </c>
      <c r="T180" s="98">
        <f t="shared" si="46"/>
        <v>0</v>
      </c>
      <c r="U180" s="13" t="str">
        <f t="shared" si="43"/>
        <v>SEM VALOR</v>
      </c>
      <c r="V180" s="4" t="str">
        <f ca="1">IF(OR($A180=0,$A180="S",$A180&gt;CFF!$A$9),"",MAX(V$12:OFFSET(V180,-1,0))+1)</f>
        <v/>
      </c>
      <c r="W180" s="9" t="str">
        <f t="shared" si="44"/>
        <v>SEE/MG-150022</v>
      </c>
      <c r="X180" s="4" t="e">
        <f t="shared" ca="1" si="47"/>
        <v>#REF!</v>
      </c>
      <c r="Y180" s="121">
        <v>6.76492</v>
      </c>
      <c r="Z180" s="132">
        <f ca="1">ROUND(IF(ISNUMBER(R180),R180,IF(LEFT(R180,3)="BDI",HLOOKUP(R180,DADOS!$T$37:$X$38,2,FALSE),0)),15-11*$X$5)</f>
        <v>0.27639999999999998</v>
      </c>
      <c r="AA180" s="4"/>
    </row>
    <row r="181" spans="1:27" x14ac:dyDescent="0.2">
      <c r="A181" t="str">
        <f t="shared" si="35"/>
        <v>S</v>
      </c>
      <c r="B181">
        <f t="shared" si="36"/>
        <v>0</v>
      </c>
      <c r="C181">
        <f t="shared" ca="1" si="37"/>
        <v>1</v>
      </c>
      <c r="D181">
        <f t="shared" ca="1" si="38"/>
        <v>16</v>
      </c>
      <c r="E181">
        <f t="shared" ca="1" si="39"/>
        <v>4</v>
      </c>
      <c r="F181">
        <f t="shared" ca="1" si="40"/>
        <v>1</v>
      </c>
      <c r="G181">
        <f t="shared" ca="1" si="41"/>
        <v>3</v>
      </c>
      <c r="H181">
        <f t="shared" ca="1" si="30"/>
        <v>0</v>
      </c>
      <c r="I181">
        <f t="shared" ca="1" si="31"/>
        <v>0</v>
      </c>
      <c r="J181" s="394" t="s">
        <v>103</v>
      </c>
      <c r="K181" s="162" t="str">
        <f t="shared" ca="1" si="42"/>
        <v>1.16.4.1.3.</v>
      </c>
      <c r="L181" s="395" t="s">
        <v>236</v>
      </c>
      <c r="M181" s="395" t="s">
        <v>522</v>
      </c>
      <c r="N181" s="397" t="s">
        <v>553</v>
      </c>
      <c r="O181" s="398" t="s">
        <v>275</v>
      </c>
      <c r="P181" s="399">
        <v>169.4</v>
      </c>
      <c r="Q181" s="228"/>
      <c r="R181" s="231" t="s">
        <v>7</v>
      </c>
      <c r="S181" s="121">
        <f t="shared" si="45"/>
        <v>0</v>
      </c>
      <c r="T181" s="98">
        <f t="shared" si="46"/>
        <v>0</v>
      </c>
      <c r="U181" s="13" t="str">
        <f t="shared" si="43"/>
        <v>SEM VALOR</v>
      </c>
      <c r="V181" s="4" t="str">
        <f ca="1">IF(OR($A181=0,$A181="S",$A181&gt;CFF!$A$9),"",MAX(V$12:OFFSET(V181,-1,0))+1)</f>
        <v/>
      </c>
      <c r="W181" s="9" t="str">
        <f t="shared" si="44"/>
        <v>SEE/MG-150023</v>
      </c>
      <c r="X181" s="4" t="e">
        <f t="shared" ca="1" si="47"/>
        <v>#REF!</v>
      </c>
      <c r="Y181" s="121">
        <v>8.0413200000000007</v>
      </c>
      <c r="Z181" s="132">
        <f ca="1">ROUND(IF(ISNUMBER(R181),R181,IF(LEFT(R181,3)="BDI",HLOOKUP(R181,DADOS!$T$37:$X$38,2,FALSE),0)),15-11*$X$5)</f>
        <v>0.27639999999999998</v>
      </c>
      <c r="AA181" s="4"/>
    </row>
    <row r="182" spans="1:27" x14ac:dyDescent="0.2">
      <c r="A182" t="str">
        <f t="shared" si="35"/>
        <v>S</v>
      </c>
      <c r="B182">
        <f t="shared" si="36"/>
        <v>0</v>
      </c>
      <c r="C182">
        <f t="shared" ca="1" si="37"/>
        <v>1</v>
      </c>
      <c r="D182">
        <f t="shared" ca="1" si="38"/>
        <v>16</v>
      </c>
      <c r="E182">
        <f t="shared" ca="1" si="39"/>
        <v>4</v>
      </c>
      <c r="F182">
        <f t="shared" ca="1" si="40"/>
        <v>1</v>
      </c>
      <c r="G182">
        <f t="shared" ca="1" si="41"/>
        <v>4</v>
      </c>
      <c r="H182">
        <f t="shared" ca="1" si="30"/>
        <v>0</v>
      </c>
      <c r="I182">
        <f t="shared" ca="1" si="31"/>
        <v>0</v>
      </c>
      <c r="J182" s="394" t="s">
        <v>103</v>
      </c>
      <c r="K182" s="162" t="str">
        <f t="shared" ca="1" si="42"/>
        <v>1.16.4.1.4.</v>
      </c>
      <c r="L182" s="395" t="s">
        <v>236</v>
      </c>
      <c r="M182" s="395" t="s">
        <v>523</v>
      </c>
      <c r="N182" s="397" t="s">
        <v>554</v>
      </c>
      <c r="O182" s="398" t="s">
        <v>275</v>
      </c>
      <c r="P182" s="399">
        <v>298.3</v>
      </c>
      <c r="Q182" s="228"/>
      <c r="R182" s="231" t="s">
        <v>7</v>
      </c>
      <c r="S182" s="121">
        <f t="shared" si="45"/>
        <v>0</v>
      </c>
      <c r="T182" s="98">
        <f t="shared" si="46"/>
        <v>0</v>
      </c>
      <c r="U182" s="13" t="str">
        <f t="shared" si="43"/>
        <v>SEM VALOR</v>
      </c>
      <c r="V182" s="4" t="str">
        <f ca="1">IF(OR($A182=0,$A182="S",$A182&gt;CFF!$A$9),"",MAX(V$12:OFFSET(V182,-1,0))+1)</f>
        <v/>
      </c>
      <c r="W182" s="9" t="str">
        <f t="shared" si="44"/>
        <v>SEE/MG-150024</v>
      </c>
      <c r="X182" s="4" t="e">
        <f t="shared" ca="1" si="47"/>
        <v>#REF!</v>
      </c>
      <c r="Y182" s="121">
        <v>9.4453600000000009</v>
      </c>
      <c r="Z182" s="132">
        <f ca="1">ROUND(IF(ISNUMBER(R182),R182,IF(LEFT(R182,3)="BDI",HLOOKUP(R182,DADOS!$T$37:$X$38,2,FALSE),0)),15-11*$X$5)</f>
        <v>0.27639999999999998</v>
      </c>
      <c r="AA182" s="4"/>
    </row>
    <row r="183" spans="1:27" x14ac:dyDescent="0.2">
      <c r="A183" t="str">
        <f t="shared" si="35"/>
        <v>S</v>
      </c>
      <c r="B183">
        <f t="shared" si="36"/>
        <v>0</v>
      </c>
      <c r="C183">
        <f t="shared" ca="1" si="37"/>
        <v>1</v>
      </c>
      <c r="D183">
        <f t="shared" ca="1" si="38"/>
        <v>16</v>
      </c>
      <c r="E183">
        <f t="shared" ca="1" si="39"/>
        <v>4</v>
      </c>
      <c r="F183">
        <f t="shared" ca="1" si="40"/>
        <v>1</v>
      </c>
      <c r="G183">
        <f t="shared" ca="1" si="41"/>
        <v>5</v>
      </c>
      <c r="H183">
        <f t="shared" ca="1" si="30"/>
        <v>0</v>
      </c>
      <c r="I183">
        <f t="shared" ca="1" si="31"/>
        <v>0</v>
      </c>
      <c r="J183" s="394" t="s">
        <v>103</v>
      </c>
      <c r="K183" s="162" t="str">
        <f t="shared" ca="1" si="42"/>
        <v>1.16.4.1.5.</v>
      </c>
      <c r="L183" s="395" t="s">
        <v>236</v>
      </c>
      <c r="M183" s="395" t="s">
        <v>524</v>
      </c>
      <c r="N183" s="397" t="s">
        <v>555</v>
      </c>
      <c r="O183" s="398" t="s">
        <v>275</v>
      </c>
      <c r="P183" s="399">
        <v>473.2</v>
      </c>
      <c r="Q183" s="228"/>
      <c r="R183" s="231" t="s">
        <v>7</v>
      </c>
      <c r="S183" s="121">
        <f t="shared" si="45"/>
        <v>0</v>
      </c>
      <c r="T183" s="98">
        <f t="shared" si="46"/>
        <v>0</v>
      </c>
      <c r="U183" s="13" t="str">
        <f t="shared" si="43"/>
        <v>SEM VALOR</v>
      </c>
      <c r="V183" s="4" t="str">
        <f ca="1">IF(OR($A183=0,$A183="S",$A183&gt;CFF!$A$9),"",MAX(V$12:OFFSET(V183,-1,0))+1)</f>
        <v/>
      </c>
      <c r="W183" s="9" t="str">
        <f t="shared" si="44"/>
        <v>SEE/MG-150025</v>
      </c>
      <c r="X183" s="4" t="e">
        <f t="shared" ca="1" si="47"/>
        <v>#REF!</v>
      </c>
      <c r="Y183" s="121">
        <v>12.164092</v>
      </c>
      <c r="Z183" s="132">
        <f ca="1">ROUND(IF(ISNUMBER(R183),R183,IF(LEFT(R183,3)="BDI",HLOOKUP(R183,DADOS!$T$37:$X$38,2,FALSE),0)),15-11*$X$5)</f>
        <v>0.27639999999999998</v>
      </c>
      <c r="AA183" s="4"/>
    </row>
    <row r="184" spans="1:27" x14ac:dyDescent="0.2">
      <c r="A184" t="str">
        <f t="shared" si="35"/>
        <v>S</v>
      </c>
      <c r="B184">
        <f t="shared" si="36"/>
        <v>0</v>
      </c>
      <c r="C184">
        <f t="shared" ca="1" si="37"/>
        <v>1</v>
      </c>
      <c r="D184">
        <f t="shared" ca="1" si="38"/>
        <v>16</v>
      </c>
      <c r="E184">
        <f t="shared" ca="1" si="39"/>
        <v>4</v>
      </c>
      <c r="F184">
        <f t="shared" ca="1" si="40"/>
        <v>1</v>
      </c>
      <c r="G184">
        <f t="shared" ca="1" si="41"/>
        <v>6</v>
      </c>
      <c r="H184">
        <f t="shared" ca="1" si="30"/>
        <v>0</v>
      </c>
      <c r="I184">
        <f t="shared" ca="1" si="31"/>
        <v>0</v>
      </c>
      <c r="J184" s="394" t="s">
        <v>103</v>
      </c>
      <c r="K184" s="162" t="str">
        <f t="shared" ca="1" si="42"/>
        <v>1.16.4.1.6.</v>
      </c>
      <c r="L184" s="395" t="s">
        <v>236</v>
      </c>
      <c r="M184" s="395" t="s">
        <v>525</v>
      </c>
      <c r="N184" s="397" t="s">
        <v>556</v>
      </c>
      <c r="O184" s="398" t="s">
        <v>275</v>
      </c>
      <c r="P184" s="399">
        <v>157.69999999999999</v>
      </c>
      <c r="Q184" s="228"/>
      <c r="R184" s="231" t="s">
        <v>7</v>
      </c>
      <c r="S184" s="121">
        <f t="shared" si="45"/>
        <v>0</v>
      </c>
      <c r="T184" s="98">
        <f t="shared" si="46"/>
        <v>0</v>
      </c>
      <c r="U184" s="13" t="str">
        <f t="shared" si="43"/>
        <v>SEM VALOR</v>
      </c>
      <c r="V184" s="4" t="str">
        <f ca="1">IF(OR($A184=0,$A184="S",$A184&gt;CFF!$A$9),"",MAX(V$12:OFFSET(V184,-1,0))+1)</f>
        <v/>
      </c>
      <c r="W184" s="9" t="str">
        <f t="shared" si="44"/>
        <v>SEE/MG-150026</v>
      </c>
      <c r="X184" s="4" t="e">
        <f t="shared" ca="1" si="47"/>
        <v>#REF!</v>
      </c>
      <c r="Y184" s="121">
        <v>23.281535999999999</v>
      </c>
      <c r="Z184" s="132">
        <f ca="1">ROUND(IF(ISNUMBER(R184),R184,IF(LEFT(R184,3)="BDI",HLOOKUP(R184,DADOS!$T$37:$X$38,2,FALSE),0)),15-11*$X$5)</f>
        <v>0.27639999999999998</v>
      </c>
      <c r="AA184" s="4"/>
    </row>
    <row r="185" spans="1:27" x14ac:dyDescent="0.2">
      <c r="A185" t="str">
        <f t="shared" si="35"/>
        <v>S</v>
      </c>
      <c r="B185">
        <f t="shared" si="36"/>
        <v>0</v>
      </c>
      <c r="C185">
        <f t="shared" ca="1" si="37"/>
        <v>1</v>
      </c>
      <c r="D185">
        <f t="shared" ca="1" si="38"/>
        <v>16</v>
      </c>
      <c r="E185">
        <f t="shared" ca="1" si="39"/>
        <v>4</v>
      </c>
      <c r="F185">
        <f t="shared" ca="1" si="40"/>
        <v>1</v>
      </c>
      <c r="G185">
        <f t="shared" ca="1" si="41"/>
        <v>7</v>
      </c>
      <c r="H185">
        <f t="shared" ca="1" si="30"/>
        <v>0</v>
      </c>
      <c r="I185">
        <f t="shared" ca="1" si="31"/>
        <v>0</v>
      </c>
      <c r="J185" s="394" t="s">
        <v>103</v>
      </c>
      <c r="K185" s="162" t="str">
        <f t="shared" ca="1" si="42"/>
        <v>1.16.4.1.7.</v>
      </c>
      <c r="L185" s="395" t="s">
        <v>236</v>
      </c>
      <c r="M185" s="395" t="s">
        <v>526</v>
      </c>
      <c r="N185" s="397" t="s">
        <v>557</v>
      </c>
      <c r="O185" s="398" t="s">
        <v>275</v>
      </c>
      <c r="P185" s="399">
        <v>229.8</v>
      </c>
      <c r="Q185" s="228"/>
      <c r="R185" s="231" t="s">
        <v>7</v>
      </c>
      <c r="S185" s="121">
        <f t="shared" si="45"/>
        <v>0</v>
      </c>
      <c r="T185" s="98">
        <f t="shared" si="46"/>
        <v>0</v>
      </c>
      <c r="U185" s="13" t="str">
        <f t="shared" si="43"/>
        <v>SEM VALOR</v>
      </c>
      <c r="V185" s="4" t="str">
        <f ca="1">IF(OR($A185=0,$A185="S",$A185&gt;CFF!$A$9),"",MAX(V$12:OFFSET(V185,-1,0))+1)</f>
        <v/>
      </c>
      <c r="W185" s="9" t="str">
        <f t="shared" si="44"/>
        <v>SEE/MG-150027</v>
      </c>
      <c r="X185" s="4" t="e">
        <f t="shared" ca="1" si="47"/>
        <v>#REF!</v>
      </c>
      <c r="Y185" s="121">
        <v>34.271340000000002</v>
      </c>
      <c r="Z185" s="132">
        <f ca="1">ROUND(IF(ISNUMBER(R185),R185,IF(LEFT(R185,3)="BDI",HLOOKUP(R185,DADOS!$T$37:$X$38,2,FALSE),0)),15-11*$X$5)</f>
        <v>0.27639999999999998</v>
      </c>
      <c r="AA185" s="4"/>
    </row>
    <row r="186" spans="1:27" x14ac:dyDescent="0.2">
      <c r="A186" t="str">
        <f t="shared" si="35"/>
        <v>S</v>
      </c>
      <c r="B186">
        <f t="shared" si="36"/>
        <v>0</v>
      </c>
      <c r="C186">
        <f t="shared" ca="1" si="37"/>
        <v>1</v>
      </c>
      <c r="D186">
        <f t="shared" ca="1" si="38"/>
        <v>16</v>
      </c>
      <c r="E186">
        <f t="shared" ca="1" si="39"/>
        <v>4</v>
      </c>
      <c r="F186">
        <f t="shared" ca="1" si="40"/>
        <v>1</v>
      </c>
      <c r="G186">
        <f t="shared" ca="1" si="41"/>
        <v>8</v>
      </c>
      <c r="H186">
        <f t="shared" ca="1" si="30"/>
        <v>0</v>
      </c>
      <c r="I186">
        <f t="shared" ca="1" si="31"/>
        <v>0</v>
      </c>
      <c r="J186" s="394" t="s">
        <v>103</v>
      </c>
      <c r="K186" s="162" t="str">
        <f t="shared" ca="1" si="42"/>
        <v>1.16.4.1.8.</v>
      </c>
      <c r="L186" s="395" t="s">
        <v>236</v>
      </c>
      <c r="M186" s="395" t="s">
        <v>527</v>
      </c>
      <c r="N186" s="397" t="s">
        <v>558</v>
      </c>
      <c r="O186" s="398" t="s">
        <v>275</v>
      </c>
      <c r="P186" s="399">
        <v>56.8</v>
      </c>
      <c r="Q186" s="228"/>
      <c r="R186" s="231" t="s">
        <v>7</v>
      </c>
      <c r="S186" s="121">
        <f t="shared" si="45"/>
        <v>0</v>
      </c>
      <c r="T186" s="98">
        <f t="shared" si="46"/>
        <v>0</v>
      </c>
      <c r="U186" s="13" t="str">
        <f t="shared" si="43"/>
        <v>SEM VALOR</v>
      </c>
      <c r="V186" s="4" t="str">
        <f ca="1">IF(OR($A186=0,$A186="S",$A186&gt;CFF!$A$9),"",MAX(V$12:OFFSET(V186,-1,0))+1)</f>
        <v/>
      </c>
      <c r="W186" s="9" t="str">
        <f t="shared" si="44"/>
        <v>SEE/MG-150028</v>
      </c>
      <c r="X186" s="4" t="e">
        <f t="shared" ca="1" si="47"/>
        <v>#REF!</v>
      </c>
      <c r="Y186" s="121">
        <v>46.129095999999997</v>
      </c>
      <c r="Z186" s="132">
        <f ca="1">ROUND(IF(ISNUMBER(R186),R186,IF(LEFT(R186,3)="BDI",HLOOKUP(R186,DADOS!$T$37:$X$38,2,FALSE),0)),15-11*$X$5)</f>
        <v>0.27639999999999998</v>
      </c>
      <c r="AA186" s="4"/>
    </row>
    <row r="187" spans="1:27" x14ac:dyDescent="0.2">
      <c r="A187" t="str">
        <f t="shared" si="35"/>
        <v>S</v>
      </c>
      <c r="B187">
        <f t="shared" si="36"/>
        <v>0</v>
      </c>
      <c r="C187">
        <f t="shared" ca="1" si="37"/>
        <v>1</v>
      </c>
      <c r="D187">
        <f t="shared" ca="1" si="38"/>
        <v>16</v>
      </c>
      <c r="E187">
        <f t="shared" ca="1" si="39"/>
        <v>4</v>
      </c>
      <c r="F187">
        <f t="shared" ca="1" si="40"/>
        <v>1</v>
      </c>
      <c r="G187">
        <f t="shared" ca="1" si="41"/>
        <v>9</v>
      </c>
      <c r="H187">
        <f t="shared" ca="1" si="30"/>
        <v>0</v>
      </c>
      <c r="I187">
        <f t="shared" ca="1" si="31"/>
        <v>0</v>
      </c>
      <c r="J187" s="394" t="s">
        <v>103</v>
      </c>
      <c r="K187" s="162" t="str">
        <f t="shared" ca="1" si="42"/>
        <v>1.16.4.1.9.</v>
      </c>
      <c r="L187" s="395" t="s">
        <v>236</v>
      </c>
      <c r="M187" s="395" t="s">
        <v>528</v>
      </c>
      <c r="N187" s="397" t="s">
        <v>529</v>
      </c>
      <c r="O187" s="398" t="s">
        <v>275</v>
      </c>
      <c r="P187" s="399">
        <v>227.1</v>
      </c>
      <c r="Q187" s="228"/>
      <c r="R187" s="231" t="s">
        <v>7</v>
      </c>
      <c r="S187" s="121">
        <f t="shared" si="45"/>
        <v>0</v>
      </c>
      <c r="T187" s="98">
        <f t="shared" si="46"/>
        <v>0</v>
      </c>
      <c r="U187" s="13" t="str">
        <f t="shared" si="43"/>
        <v>SEM VALOR</v>
      </c>
      <c r="V187" s="4" t="str">
        <f ca="1">IF(OR($A187=0,$A187="S",$A187&gt;CFF!$A$9),"",MAX(V$12:OFFSET(V187,-1,0))+1)</f>
        <v/>
      </c>
      <c r="W187" s="9" t="str">
        <f t="shared" si="44"/>
        <v>SEE/MG-150029</v>
      </c>
      <c r="X187" s="4" t="e">
        <f t="shared" ca="1" si="47"/>
        <v>#REF!</v>
      </c>
      <c r="Y187" s="121">
        <v>91.262600000000006</v>
      </c>
      <c r="Z187" s="132">
        <f ca="1">ROUND(IF(ISNUMBER(R187),R187,IF(LEFT(R187,3)="BDI",HLOOKUP(R187,DADOS!$T$37:$X$38,2,FALSE),0)),15-11*$X$5)</f>
        <v>0.27639999999999998</v>
      </c>
      <c r="AA187" s="4"/>
    </row>
    <row r="188" spans="1:27" ht="25.5" x14ac:dyDescent="0.2">
      <c r="A188" t="str">
        <f t="shared" si="35"/>
        <v>S</v>
      </c>
      <c r="B188">
        <f t="shared" si="36"/>
        <v>0</v>
      </c>
      <c r="C188">
        <f t="shared" ca="1" si="37"/>
        <v>1</v>
      </c>
      <c r="D188">
        <f t="shared" ca="1" si="38"/>
        <v>16</v>
      </c>
      <c r="E188">
        <f t="shared" ca="1" si="39"/>
        <v>4</v>
      </c>
      <c r="F188">
        <f t="shared" ca="1" si="40"/>
        <v>1</v>
      </c>
      <c r="G188">
        <f t="shared" ca="1" si="41"/>
        <v>10</v>
      </c>
      <c r="H188">
        <f t="shared" ca="1" si="30"/>
        <v>0</v>
      </c>
      <c r="I188">
        <f t="shared" ca="1" si="31"/>
        <v>0</v>
      </c>
      <c r="J188" s="394" t="s">
        <v>103</v>
      </c>
      <c r="K188" s="162" t="str">
        <f t="shared" ca="1" si="42"/>
        <v>1.16.4.1.10.</v>
      </c>
      <c r="L188" s="395" t="s">
        <v>347</v>
      </c>
      <c r="M188" s="395" t="s">
        <v>570</v>
      </c>
      <c r="N188" s="397" t="s">
        <v>530</v>
      </c>
      <c r="O188" s="398" t="s">
        <v>275</v>
      </c>
      <c r="P188" s="399">
        <v>12.9</v>
      </c>
      <c r="Q188" s="228"/>
      <c r="R188" s="231" t="s">
        <v>7</v>
      </c>
      <c r="S188" s="121">
        <f t="shared" si="45"/>
        <v>0</v>
      </c>
      <c r="T188" s="98">
        <f t="shared" si="46"/>
        <v>0</v>
      </c>
      <c r="U188" s="13" t="str">
        <f t="shared" si="43"/>
        <v>SEM VALOR</v>
      </c>
      <c r="V188" s="4" t="str">
        <f ca="1">IF(OR($A188=0,$A188="S",$A188&gt;CFF!$A$9),"",MAX(V$12:OFFSET(V188,-1,0))+1)</f>
        <v/>
      </c>
      <c r="W188" s="9" t="str">
        <f t="shared" si="44"/>
        <v>SINAPI-92991</v>
      </c>
      <c r="X188" s="4" t="e">
        <f t="shared" ca="1" si="47"/>
        <v>#REF!</v>
      </c>
      <c r="Y188" s="121">
        <v>112.016864</v>
      </c>
      <c r="Z188" s="132">
        <f ca="1">ROUND(IF(ISNUMBER(R188),R188,IF(LEFT(R188,3)="BDI",HLOOKUP(R188,DADOS!$T$37:$X$38,2,FALSE),0)),15-11*$X$5)</f>
        <v>0.27639999999999998</v>
      </c>
      <c r="AA188" s="4"/>
    </row>
    <row r="189" spans="1:27" ht="25.5" x14ac:dyDescent="0.2">
      <c r="A189" t="str">
        <f t="shared" si="35"/>
        <v>S</v>
      </c>
      <c r="B189">
        <f t="shared" si="36"/>
        <v>0</v>
      </c>
      <c r="C189">
        <f t="shared" ca="1" si="37"/>
        <v>1</v>
      </c>
      <c r="D189">
        <f t="shared" ca="1" si="38"/>
        <v>16</v>
      </c>
      <c r="E189">
        <f t="shared" ca="1" si="39"/>
        <v>4</v>
      </c>
      <c r="F189">
        <f t="shared" ca="1" si="40"/>
        <v>1</v>
      </c>
      <c r="G189">
        <f t="shared" ca="1" si="41"/>
        <v>11</v>
      </c>
      <c r="H189">
        <f t="shared" ca="1" si="30"/>
        <v>0</v>
      </c>
      <c r="I189">
        <f t="shared" ca="1" si="31"/>
        <v>0</v>
      </c>
      <c r="J189" s="394" t="s">
        <v>103</v>
      </c>
      <c r="K189" s="162" t="str">
        <f t="shared" ca="1" si="42"/>
        <v>1.16.4.1.11.</v>
      </c>
      <c r="L189" s="395" t="s">
        <v>347</v>
      </c>
      <c r="M189" s="395" t="s">
        <v>571</v>
      </c>
      <c r="N189" s="397" t="s">
        <v>531</v>
      </c>
      <c r="O189" s="398" t="s">
        <v>275</v>
      </c>
      <c r="P189" s="399">
        <v>51.6</v>
      </c>
      <c r="Q189" s="228"/>
      <c r="R189" s="231" t="s">
        <v>7</v>
      </c>
      <c r="S189" s="121">
        <f t="shared" si="45"/>
        <v>0</v>
      </c>
      <c r="T189" s="98">
        <f t="shared" si="46"/>
        <v>0</v>
      </c>
      <c r="U189" s="13" t="str">
        <f t="shared" si="43"/>
        <v>SEM VALOR</v>
      </c>
      <c r="V189" s="4" t="str">
        <f ca="1">IF(OR($A189=0,$A189="S",$A189&gt;CFF!$A$9),"",MAX(V$12:OFFSET(V189,-1,0))+1)</f>
        <v/>
      </c>
      <c r="W189" s="9" t="str">
        <f t="shared" si="44"/>
        <v>SINAPI-92997</v>
      </c>
      <c r="X189" s="4" t="e">
        <f t="shared" ca="1" si="47"/>
        <v>#REF!</v>
      </c>
      <c r="Y189" s="121">
        <v>217.57514399999999</v>
      </c>
      <c r="Z189" s="132">
        <f ca="1">ROUND(IF(ISNUMBER(R189),R189,IF(LEFT(R189,3)="BDI",HLOOKUP(R189,DADOS!$T$37:$X$38,2,FALSE),0)),15-11*$X$5)</f>
        <v>0.27639999999999998</v>
      </c>
      <c r="AA189" s="4"/>
    </row>
    <row r="190" spans="1:27" ht="25.5" x14ac:dyDescent="0.2">
      <c r="A190" t="str">
        <f t="shared" si="35"/>
        <v>S</v>
      </c>
      <c r="B190">
        <f t="shared" si="36"/>
        <v>0</v>
      </c>
      <c r="C190">
        <f t="shared" ca="1" si="37"/>
        <v>1</v>
      </c>
      <c r="D190">
        <f t="shared" ca="1" si="38"/>
        <v>16</v>
      </c>
      <c r="E190">
        <f t="shared" ca="1" si="39"/>
        <v>4</v>
      </c>
      <c r="F190">
        <f t="shared" ca="1" si="40"/>
        <v>1</v>
      </c>
      <c r="G190">
        <f t="shared" ca="1" si="41"/>
        <v>12</v>
      </c>
      <c r="H190">
        <f t="shared" ca="1" si="30"/>
        <v>0</v>
      </c>
      <c r="I190">
        <f t="shared" ca="1" si="31"/>
        <v>0</v>
      </c>
      <c r="J190" s="394" t="s">
        <v>103</v>
      </c>
      <c r="K190" s="162" t="str">
        <f t="shared" ca="1" si="42"/>
        <v>1.16.4.1.12.</v>
      </c>
      <c r="L190" s="395" t="s">
        <v>347</v>
      </c>
      <c r="M190" s="395" t="s">
        <v>572</v>
      </c>
      <c r="N190" s="397" t="s">
        <v>532</v>
      </c>
      <c r="O190" s="398" t="s">
        <v>275</v>
      </c>
      <c r="P190" s="399">
        <v>52.6</v>
      </c>
      <c r="Q190" s="228"/>
      <c r="R190" s="231" t="s">
        <v>7</v>
      </c>
      <c r="S190" s="121">
        <f t="shared" si="45"/>
        <v>0</v>
      </c>
      <c r="T190" s="98">
        <f t="shared" si="46"/>
        <v>0</v>
      </c>
      <c r="U190" s="13" t="str">
        <f t="shared" si="43"/>
        <v>SEM VALOR</v>
      </c>
      <c r="V190" s="4" t="str">
        <f ca="1">IF(OR($A190=0,$A190="S",$A190&gt;CFF!$A$9),"",MAX(V$12:OFFSET(V190,-1,0))+1)</f>
        <v/>
      </c>
      <c r="W190" s="9" t="str">
        <f t="shared" si="44"/>
        <v>SINAPI-98281</v>
      </c>
      <c r="X190" s="4" t="e">
        <f t="shared" ca="1" si="47"/>
        <v>#REF!</v>
      </c>
      <c r="Y190" s="121">
        <v>8.5774080000000001</v>
      </c>
      <c r="Z190" s="132">
        <f ca="1">ROUND(IF(ISNUMBER(R190),R190,IF(LEFT(R190,3)="BDI",HLOOKUP(R190,DADOS!$T$37:$X$38,2,FALSE),0)),15-11*$X$5)</f>
        <v>0.27639999999999998</v>
      </c>
      <c r="AA190" s="4"/>
    </row>
    <row r="191" spans="1:27" x14ac:dyDescent="0.2">
      <c r="A191">
        <f t="shared" si="35"/>
        <v>3</v>
      </c>
      <c r="B191">
        <f t="shared" ca="1" si="36"/>
        <v>12</v>
      </c>
      <c r="C191">
        <f t="shared" ca="1" si="37"/>
        <v>1</v>
      </c>
      <c r="D191">
        <f t="shared" ca="1" si="38"/>
        <v>16</v>
      </c>
      <c r="E191">
        <f t="shared" ca="1" si="39"/>
        <v>5</v>
      </c>
      <c r="F191">
        <f t="shared" ca="1" si="40"/>
        <v>0</v>
      </c>
      <c r="G191">
        <f t="shared" ca="1" si="41"/>
        <v>0</v>
      </c>
      <c r="H191">
        <f t="shared" ca="1" si="30"/>
        <v>12</v>
      </c>
      <c r="I191" t="e">
        <f t="shared" ca="1" si="31"/>
        <v>#N/A</v>
      </c>
      <c r="J191" s="394" t="s">
        <v>101</v>
      </c>
      <c r="K191" s="162" t="str">
        <f t="shared" ca="1" si="42"/>
        <v>1.16.5.</v>
      </c>
      <c r="L191" s="395"/>
      <c r="M191" s="395"/>
      <c r="N191" s="397" t="s">
        <v>533</v>
      </c>
      <c r="O191" s="398"/>
      <c r="P191" s="399"/>
      <c r="Q191" s="228"/>
      <c r="R191" s="231" t="s">
        <v>7</v>
      </c>
      <c r="S191" s="121">
        <f t="shared" si="45"/>
        <v>0</v>
      </c>
      <c r="T191" s="98">
        <f t="shared" ca="1" si="46"/>
        <v>0</v>
      </c>
      <c r="U191" s="13" t="str">
        <f t="shared" ca="1" si="43"/>
        <v>SEM VALOR</v>
      </c>
      <c r="V191" s="4" t="str">
        <f ca="1">IF(OR($A191=0,$A191="S",$A191&gt;CFF!$A$9),"",MAX(V$12:OFFSET(V191,-1,0))+1)</f>
        <v/>
      </c>
      <c r="W191" s="9" t="b">
        <f t="shared" si="44"/>
        <v>0</v>
      </c>
      <c r="X191" s="4" t="str">
        <f t="shared" ca="1" si="47"/>
        <v>X</v>
      </c>
      <c r="Y191" s="121">
        <v>0</v>
      </c>
      <c r="Z191" s="132">
        <f ca="1">ROUND(IF(ISNUMBER(R191),R191,IF(LEFT(R191,3)="BDI",HLOOKUP(R191,DADOS!$T$37:$X$38,2,FALSE),0)),15-11*$X$5)</f>
        <v>0.27639999999999998</v>
      </c>
      <c r="AA191" s="4"/>
    </row>
    <row r="192" spans="1:27" x14ac:dyDescent="0.2">
      <c r="A192" t="str">
        <f t="shared" si="35"/>
        <v>S</v>
      </c>
      <c r="B192">
        <f t="shared" si="36"/>
        <v>0</v>
      </c>
      <c r="C192">
        <f t="shared" ca="1" si="37"/>
        <v>1</v>
      </c>
      <c r="D192">
        <f t="shared" ca="1" si="38"/>
        <v>16</v>
      </c>
      <c r="E192">
        <f t="shared" ca="1" si="39"/>
        <v>5</v>
      </c>
      <c r="F192">
        <f t="shared" ca="1" si="40"/>
        <v>0</v>
      </c>
      <c r="G192">
        <f t="shared" ca="1" si="41"/>
        <v>1</v>
      </c>
      <c r="H192">
        <f t="shared" ca="1" si="30"/>
        <v>0</v>
      </c>
      <c r="I192">
        <f t="shared" ca="1" si="31"/>
        <v>0</v>
      </c>
      <c r="J192" s="394" t="s">
        <v>103</v>
      </c>
      <c r="K192" s="162" t="str">
        <f t="shared" ca="1" si="42"/>
        <v>1.16.5.0.1.</v>
      </c>
      <c r="L192" s="395" t="s">
        <v>236</v>
      </c>
      <c r="M192" s="395" t="s">
        <v>534</v>
      </c>
      <c r="N192" s="397" t="s">
        <v>535</v>
      </c>
      <c r="O192" s="398" t="s">
        <v>259</v>
      </c>
      <c r="P192" s="399">
        <v>56</v>
      </c>
      <c r="Q192" s="228"/>
      <c r="R192" s="231" t="s">
        <v>7</v>
      </c>
      <c r="S192" s="121">
        <f t="shared" si="45"/>
        <v>0</v>
      </c>
      <c r="T192" s="98">
        <f t="shared" si="46"/>
        <v>0</v>
      </c>
      <c r="U192" s="13" t="str">
        <f t="shared" si="43"/>
        <v>SEM VALOR</v>
      </c>
      <c r="V192" s="4" t="str">
        <f ca="1">IF(OR($A192=0,$A192="S",$A192&gt;CFF!$A$9),"",MAX(V$12:OFFSET(V192,-1,0))+1)</f>
        <v/>
      </c>
      <c r="W192" s="9" t="str">
        <f t="shared" si="44"/>
        <v>SEE/MG-150033</v>
      </c>
      <c r="X192" s="4" t="e">
        <f t="shared" ca="1" si="47"/>
        <v>#REF!</v>
      </c>
      <c r="Y192" s="121">
        <v>30.761240000000001</v>
      </c>
      <c r="Z192" s="132">
        <f ca="1">ROUND(IF(ISNUMBER(R192),R192,IF(LEFT(R192,3)="BDI",HLOOKUP(R192,DADOS!$T$37:$X$38,2,FALSE),0)),15-11*$X$5)</f>
        <v>0.27639999999999998</v>
      </c>
      <c r="AA192" s="4"/>
    </row>
    <row r="193" spans="1:27" ht="25.5" x14ac:dyDescent="0.2">
      <c r="A193" t="str">
        <f t="shared" si="35"/>
        <v>S</v>
      </c>
      <c r="B193">
        <f t="shared" si="36"/>
        <v>0</v>
      </c>
      <c r="C193">
        <f t="shared" ca="1" si="37"/>
        <v>1</v>
      </c>
      <c r="D193">
        <f t="shared" ca="1" si="38"/>
        <v>16</v>
      </c>
      <c r="E193">
        <f t="shared" ca="1" si="39"/>
        <v>5</v>
      </c>
      <c r="F193">
        <f t="shared" ca="1" si="40"/>
        <v>0</v>
      </c>
      <c r="G193">
        <f t="shared" ca="1" si="41"/>
        <v>2</v>
      </c>
      <c r="H193">
        <f t="shared" ca="1" si="30"/>
        <v>0</v>
      </c>
      <c r="I193">
        <f t="shared" ca="1" si="31"/>
        <v>0</v>
      </c>
      <c r="J193" s="394" t="s">
        <v>103</v>
      </c>
      <c r="K193" s="162" t="str">
        <f t="shared" ca="1" si="42"/>
        <v>1.16.5.0.2.</v>
      </c>
      <c r="L193" s="395" t="s">
        <v>347</v>
      </c>
      <c r="M193" s="395" t="s">
        <v>573</v>
      </c>
      <c r="N193" s="397" t="s">
        <v>536</v>
      </c>
      <c r="O193" s="398" t="s">
        <v>259</v>
      </c>
      <c r="P193" s="399">
        <v>4</v>
      </c>
      <c r="Q193" s="228"/>
      <c r="R193" s="231" t="s">
        <v>7</v>
      </c>
      <c r="S193" s="121">
        <f t="shared" si="45"/>
        <v>0</v>
      </c>
      <c r="T193" s="98">
        <f t="shared" si="46"/>
        <v>0</v>
      </c>
      <c r="U193" s="13" t="str">
        <f t="shared" si="43"/>
        <v>SEM VALOR</v>
      </c>
      <c r="V193" s="4" t="str">
        <f ca="1">IF(OR($A193=0,$A193="S",$A193&gt;CFF!$A$9),"",MAX(V$12:OFFSET(V193,-1,0))+1)</f>
        <v/>
      </c>
      <c r="W193" s="9" t="str">
        <f t="shared" si="44"/>
        <v>SINAPI-92001</v>
      </c>
      <c r="X193" s="4" t="e">
        <f t="shared" ca="1" si="47"/>
        <v>#REF!</v>
      </c>
      <c r="Y193" s="121">
        <v>32.880063999999997</v>
      </c>
      <c r="Z193" s="132">
        <f ca="1">ROUND(IF(ISNUMBER(R193),R193,IF(LEFT(R193,3)="BDI",HLOOKUP(R193,DADOS!$T$37:$X$38,2,FALSE),0)),15-11*$X$5)</f>
        <v>0.27639999999999998</v>
      </c>
      <c r="AA193" s="4"/>
    </row>
    <row r="194" spans="1:27" x14ac:dyDescent="0.2">
      <c r="A194" t="str">
        <f t="shared" si="35"/>
        <v>S</v>
      </c>
      <c r="B194">
        <f t="shared" si="36"/>
        <v>0</v>
      </c>
      <c r="C194">
        <f t="shared" ca="1" si="37"/>
        <v>1</v>
      </c>
      <c r="D194">
        <f t="shared" ca="1" si="38"/>
        <v>16</v>
      </c>
      <c r="E194">
        <f t="shared" ca="1" si="39"/>
        <v>5</v>
      </c>
      <c r="F194">
        <f t="shared" ca="1" si="40"/>
        <v>0</v>
      </c>
      <c r="G194">
        <f t="shared" ca="1" si="41"/>
        <v>3</v>
      </c>
      <c r="H194">
        <f t="shared" ca="1" si="30"/>
        <v>0</v>
      </c>
      <c r="I194">
        <f t="shared" ca="1" si="31"/>
        <v>0</v>
      </c>
      <c r="J194" s="394" t="s">
        <v>103</v>
      </c>
      <c r="K194" s="162" t="str">
        <f t="shared" ca="1" si="42"/>
        <v>1.16.5.0.3.</v>
      </c>
      <c r="L194" s="395" t="s">
        <v>236</v>
      </c>
      <c r="M194" s="395" t="s">
        <v>537</v>
      </c>
      <c r="N194" s="397" t="s">
        <v>538</v>
      </c>
      <c r="O194" s="398" t="s">
        <v>259</v>
      </c>
      <c r="P194" s="399">
        <v>7</v>
      </c>
      <c r="Q194" s="228"/>
      <c r="R194" s="231" t="s">
        <v>7</v>
      </c>
      <c r="S194" s="121">
        <f t="shared" si="45"/>
        <v>0</v>
      </c>
      <c r="T194" s="98">
        <f t="shared" si="46"/>
        <v>0</v>
      </c>
      <c r="U194" s="13" t="str">
        <f t="shared" si="43"/>
        <v>SEM VALOR</v>
      </c>
      <c r="V194" s="4" t="str">
        <f ca="1">IF(OR($A194=0,$A194="S",$A194&gt;CFF!$A$9),"",MAX(V$12:OFFSET(V194,-1,0))+1)</f>
        <v/>
      </c>
      <c r="W194" s="9" t="str">
        <f t="shared" si="44"/>
        <v>SEE/MG-150035</v>
      </c>
      <c r="X194" s="4" t="e">
        <f t="shared" ca="1" si="47"/>
        <v>#REF!</v>
      </c>
      <c r="Y194" s="121">
        <v>18.124880000000001</v>
      </c>
      <c r="Z194" s="132">
        <f ca="1">ROUND(IF(ISNUMBER(R194),R194,IF(LEFT(R194,3)="BDI",HLOOKUP(R194,DADOS!$T$37:$X$38,2,FALSE),0)),15-11*$X$5)</f>
        <v>0.27639999999999998</v>
      </c>
      <c r="AA194" s="4"/>
    </row>
    <row r="195" spans="1:27" x14ac:dyDescent="0.2">
      <c r="A195" t="str">
        <f t="shared" si="35"/>
        <v>S</v>
      </c>
      <c r="B195">
        <f t="shared" si="36"/>
        <v>0</v>
      </c>
      <c r="C195">
        <f t="shared" ca="1" si="37"/>
        <v>1</v>
      </c>
      <c r="D195">
        <f t="shared" ca="1" si="38"/>
        <v>16</v>
      </c>
      <c r="E195">
        <f t="shared" ca="1" si="39"/>
        <v>5</v>
      </c>
      <c r="F195">
        <f t="shared" ca="1" si="40"/>
        <v>0</v>
      </c>
      <c r="G195">
        <f t="shared" ca="1" si="41"/>
        <v>4</v>
      </c>
      <c r="H195">
        <f t="shared" ca="1" si="30"/>
        <v>0</v>
      </c>
      <c r="I195">
        <f t="shared" ca="1" si="31"/>
        <v>0</v>
      </c>
      <c r="J195" s="394" t="s">
        <v>103</v>
      </c>
      <c r="K195" s="162" t="str">
        <f t="shared" ca="1" si="42"/>
        <v>1.16.5.0.4.</v>
      </c>
      <c r="L195" s="395" t="s">
        <v>236</v>
      </c>
      <c r="M195" s="395" t="s">
        <v>539</v>
      </c>
      <c r="N195" s="397" t="s">
        <v>540</v>
      </c>
      <c r="O195" s="398" t="s">
        <v>259</v>
      </c>
      <c r="P195" s="399">
        <v>1</v>
      </c>
      <c r="Q195" s="228"/>
      <c r="R195" s="231" t="s">
        <v>7</v>
      </c>
      <c r="S195" s="121">
        <f t="shared" si="45"/>
        <v>0</v>
      </c>
      <c r="T195" s="98">
        <f t="shared" si="46"/>
        <v>0</v>
      </c>
      <c r="U195" s="13" t="str">
        <f t="shared" si="43"/>
        <v>SEM VALOR</v>
      </c>
      <c r="V195" s="4" t="str">
        <f ca="1">IF(OR($A195=0,$A195="S",$A195&gt;CFF!$A$9),"",MAX(V$12:OFFSET(V195,-1,0))+1)</f>
        <v/>
      </c>
      <c r="W195" s="9" t="str">
        <f t="shared" si="44"/>
        <v>SEE/MG-150036</v>
      </c>
      <c r="X195" s="4" t="e">
        <f t="shared" ca="1" si="47"/>
        <v>#REF!</v>
      </c>
      <c r="Y195" s="121">
        <v>28.667943999999999</v>
      </c>
      <c r="Z195" s="132">
        <f ca="1">ROUND(IF(ISNUMBER(R195),R195,IF(LEFT(R195,3)="BDI",HLOOKUP(R195,DADOS!$T$37:$X$38,2,FALSE),0)),15-11*$X$5)</f>
        <v>0.27639999999999998</v>
      </c>
      <c r="AA195" s="4"/>
    </row>
    <row r="196" spans="1:27" x14ac:dyDescent="0.2">
      <c r="A196" t="str">
        <f t="shared" si="35"/>
        <v>S</v>
      </c>
      <c r="B196">
        <f t="shared" si="36"/>
        <v>0</v>
      </c>
      <c r="C196">
        <f t="shared" ca="1" si="37"/>
        <v>1</v>
      </c>
      <c r="D196">
        <f t="shared" ca="1" si="38"/>
        <v>16</v>
      </c>
      <c r="E196">
        <f t="shared" ca="1" si="39"/>
        <v>5</v>
      </c>
      <c r="F196">
        <f t="shared" ca="1" si="40"/>
        <v>0</v>
      </c>
      <c r="G196">
        <f t="shared" ca="1" si="41"/>
        <v>5</v>
      </c>
      <c r="H196">
        <f t="shared" ca="1" si="30"/>
        <v>0</v>
      </c>
      <c r="I196">
        <f t="shared" ca="1" si="31"/>
        <v>0</v>
      </c>
      <c r="J196" s="394" t="s">
        <v>103</v>
      </c>
      <c r="K196" s="162" t="str">
        <f t="shared" ca="1" si="42"/>
        <v>1.16.5.0.5.</v>
      </c>
      <c r="L196" s="395" t="s">
        <v>236</v>
      </c>
      <c r="M196" s="395" t="s">
        <v>541</v>
      </c>
      <c r="N196" s="397" t="s">
        <v>542</v>
      </c>
      <c r="O196" s="398" t="s">
        <v>259</v>
      </c>
      <c r="P196" s="399">
        <v>11</v>
      </c>
      <c r="Q196" s="228"/>
      <c r="R196" s="231" t="s">
        <v>7</v>
      </c>
      <c r="S196" s="121">
        <f t="shared" si="45"/>
        <v>0</v>
      </c>
      <c r="T196" s="98">
        <f t="shared" si="46"/>
        <v>0</v>
      </c>
      <c r="U196" s="13" t="str">
        <f t="shared" si="43"/>
        <v>SEM VALOR</v>
      </c>
      <c r="V196" s="4" t="str">
        <f ca="1">IF(OR($A196=0,$A196="S",$A196&gt;CFF!$A$9),"",MAX(V$12:OFFSET(V196,-1,0))+1)</f>
        <v/>
      </c>
      <c r="W196" s="9" t="str">
        <f t="shared" si="44"/>
        <v>SEE/MG-150037</v>
      </c>
      <c r="X196" s="4" t="e">
        <f t="shared" ca="1" si="47"/>
        <v>#REF!</v>
      </c>
      <c r="Y196" s="121">
        <v>41.559584000000001</v>
      </c>
      <c r="Z196" s="132">
        <f ca="1">ROUND(IF(ISNUMBER(R196),R196,IF(LEFT(R196,3)="BDI",HLOOKUP(R196,DADOS!$T$37:$X$38,2,FALSE),0)),15-11*$X$5)</f>
        <v>0.27639999999999998</v>
      </c>
      <c r="AA196" s="4"/>
    </row>
    <row r="197" spans="1:27" ht="25.5" x14ac:dyDescent="0.2">
      <c r="A197" t="str">
        <f t="shared" si="35"/>
        <v>S</v>
      </c>
      <c r="B197">
        <f t="shared" si="36"/>
        <v>0</v>
      </c>
      <c r="C197">
        <f t="shared" ca="1" si="37"/>
        <v>1</v>
      </c>
      <c r="D197">
        <f t="shared" ca="1" si="38"/>
        <v>16</v>
      </c>
      <c r="E197">
        <f t="shared" ca="1" si="39"/>
        <v>5</v>
      </c>
      <c r="F197">
        <f t="shared" ca="1" si="40"/>
        <v>0</v>
      </c>
      <c r="G197">
        <f t="shared" ca="1" si="41"/>
        <v>6</v>
      </c>
      <c r="H197">
        <f t="shared" ca="1" si="30"/>
        <v>0</v>
      </c>
      <c r="I197">
        <f t="shared" ca="1" si="31"/>
        <v>0</v>
      </c>
      <c r="J197" s="394" t="s">
        <v>103</v>
      </c>
      <c r="K197" s="162" t="str">
        <f t="shared" ca="1" si="42"/>
        <v>1.16.5.0.6.</v>
      </c>
      <c r="L197" s="395" t="s">
        <v>347</v>
      </c>
      <c r="M197" s="395" t="s">
        <v>574</v>
      </c>
      <c r="N197" s="397" t="s">
        <v>543</v>
      </c>
      <c r="O197" s="398" t="s">
        <v>259</v>
      </c>
      <c r="P197" s="399">
        <v>3</v>
      </c>
      <c r="Q197" s="228"/>
      <c r="R197" s="231" t="s">
        <v>7</v>
      </c>
      <c r="S197" s="121">
        <f t="shared" si="45"/>
        <v>0</v>
      </c>
      <c r="T197" s="98">
        <f t="shared" si="46"/>
        <v>0</v>
      </c>
      <c r="U197" s="13" t="str">
        <f t="shared" si="43"/>
        <v>SEM VALOR</v>
      </c>
      <c r="V197" s="4" t="str">
        <f ca="1">IF(OR($A197=0,$A197="S",$A197&gt;CFF!$A$9),"",MAX(V$12:OFFSET(V197,-1,0))+1)</f>
        <v/>
      </c>
      <c r="W197" s="9" t="str">
        <f t="shared" si="44"/>
        <v>SINAPI-92023</v>
      </c>
      <c r="X197" s="4" t="e">
        <f t="shared" ca="1" si="47"/>
        <v>#REF!</v>
      </c>
      <c r="Y197" s="121">
        <v>50.060408000000002</v>
      </c>
      <c r="Z197" s="132">
        <f ca="1">ROUND(IF(ISNUMBER(R197),R197,IF(LEFT(R197,3)="BDI",HLOOKUP(R197,DADOS!$T$37:$X$38,2,FALSE),0)),15-11*$X$5)</f>
        <v>0.27639999999999998</v>
      </c>
      <c r="AA197" s="4"/>
    </row>
    <row r="198" spans="1:27" x14ac:dyDescent="0.2">
      <c r="A198" t="str">
        <f t="shared" si="35"/>
        <v>S</v>
      </c>
      <c r="B198">
        <f t="shared" si="36"/>
        <v>0</v>
      </c>
      <c r="C198">
        <f t="shared" ca="1" si="37"/>
        <v>1</v>
      </c>
      <c r="D198">
        <f t="shared" ca="1" si="38"/>
        <v>16</v>
      </c>
      <c r="E198">
        <f t="shared" ca="1" si="39"/>
        <v>5</v>
      </c>
      <c r="F198">
        <f t="shared" ca="1" si="40"/>
        <v>0</v>
      </c>
      <c r="G198">
        <f t="shared" ca="1" si="41"/>
        <v>7</v>
      </c>
      <c r="H198">
        <f t="shared" ca="1" si="30"/>
        <v>0</v>
      </c>
      <c r="I198">
        <f t="shared" ca="1" si="31"/>
        <v>0</v>
      </c>
      <c r="J198" s="394" t="s">
        <v>103</v>
      </c>
      <c r="K198" s="162" t="str">
        <f t="shared" ca="1" si="42"/>
        <v>1.16.5.0.7.</v>
      </c>
      <c r="L198" s="395" t="s">
        <v>580</v>
      </c>
      <c r="M198" s="395" t="s">
        <v>575</v>
      </c>
      <c r="N198" s="397" t="s">
        <v>544</v>
      </c>
      <c r="O198" s="398" t="s">
        <v>259</v>
      </c>
      <c r="P198" s="399">
        <v>7</v>
      </c>
      <c r="Q198" s="228"/>
      <c r="R198" s="231" t="s">
        <v>7</v>
      </c>
      <c r="S198" s="121">
        <f t="shared" si="45"/>
        <v>0</v>
      </c>
      <c r="T198" s="98">
        <f t="shared" si="46"/>
        <v>0</v>
      </c>
      <c r="U198" s="13" t="str">
        <f t="shared" si="43"/>
        <v>SEM VALOR</v>
      </c>
      <c r="V198" s="4" t="str">
        <f ca="1">IF(OR($A198=0,$A198="S",$A198&gt;CFF!$A$9),"",MAX(V$12:OFFSET(V198,-1,0))+1)</f>
        <v/>
      </c>
      <c r="W198" s="9" t="str">
        <f t="shared" si="44"/>
        <v>SEINFRA-C2298</v>
      </c>
      <c r="X198" s="4" t="e">
        <f t="shared" ca="1" si="47"/>
        <v>#REF!</v>
      </c>
      <c r="Y198" s="121">
        <v>14.844531999999999</v>
      </c>
      <c r="Z198" s="132">
        <f ca="1">ROUND(IF(ISNUMBER(R198),R198,IF(LEFT(R198,3)="BDI",HLOOKUP(R198,DADOS!$T$37:$X$38,2,FALSE),0)),15-11*$X$5)</f>
        <v>0.27639999999999998</v>
      </c>
      <c r="AA198" s="4"/>
    </row>
    <row r="199" spans="1:27" x14ac:dyDescent="0.2">
      <c r="A199" t="str">
        <f t="shared" si="35"/>
        <v>S</v>
      </c>
      <c r="B199">
        <f t="shared" si="36"/>
        <v>0</v>
      </c>
      <c r="C199">
        <f t="shared" ca="1" si="37"/>
        <v>1</v>
      </c>
      <c r="D199">
        <f t="shared" ca="1" si="38"/>
        <v>16</v>
      </c>
      <c r="E199">
        <f t="shared" ca="1" si="39"/>
        <v>5</v>
      </c>
      <c r="F199">
        <f t="shared" ca="1" si="40"/>
        <v>0</v>
      </c>
      <c r="G199">
        <f t="shared" ca="1" si="41"/>
        <v>8</v>
      </c>
      <c r="H199">
        <f t="shared" ca="1" si="30"/>
        <v>0</v>
      </c>
      <c r="I199">
        <f t="shared" ca="1" si="31"/>
        <v>0</v>
      </c>
      <c r="J199" s="394" t="s">
        <v>103</v>
      </c>
      <c r="K199" s="162" t="str">
        <f t="shared" ca="1" si="42"/>
        <v>1.16.5.0.8.</v>
      </c>
      <c r="L199" s="395" t="s">
        <v>580</v>
      </c>
      <c r="M199" s="395" t="s">
        <v>576</v>
      </c>
      <c r="N199" s="397" t="s">
        <v>545</v>
      </c>
      <c r="O199" s="398" t="s">
        <v>259</v>
      </c>
      <c r="P199" s="399">
        <v>74</v>
      </c>
      <c r="Q199" s="228"/>
      <c r="R199" s="231" t="s">
        <v>7</v>
      </c>
      <c r="S199" s="121">
        <f t="shared" si="45"/>
        <v>0</v>
      </c>
      <c r="T199" s="98">
        <f t="shared" si="46"/>
        <v>0</v>
      </c>
      <c r="U199" s="13" t="str">
        <f t="shared" si="43"/>
        <v>SEM VALOR</v>
      </c>
      <c r="V199" s="4" t="str">
        <f ca="1">IF(OR($A199=0,$A199="S",$A199&gt;CFF!$A$9),"",MAX(V$12:OFFSET(V199,-1,0))+1)</f>
        <v/>
      </c>
      <c r="W199" s="9" t="str">
        <f t="shared" si="44"/>
        <v>SEINFRA-C1639</v>
      </c>
      <c r="X199" s="4" t="e">
        <f t="shared" ca="1" si="47"/>
        <v>#REF!</v>
      </c>
      <c r="Y199" s="121">
        <v>133.99647200000001</v>
      </c>
      <c r="Z199" s="132">
        <f ca="1">ROUND(IF(ISNUMBER(R199),R199,IF(LEFT(R199,3)="BDI",HLOOKUP(R199,DADOS!$T$37:$X$38,2,FALSE),0)),15-11*$X$5)</f>
        <v>0.27639999999999998</v>
      </c>
      <c r="AA199" s="4"/>
    </row>
    <row r="200" spans="1:27" x14ac:dyDescent="0.2">
      <c r="A200" t="str">
        <f t="shared" si="35"/>
        <v>S</v>
      </c>
      <c r="B200">
        <f t="shared" si="36"/>
        <v>0</v>
      </c>
      <c r="C200">
        <f t="shared" ca="1" si="37"/>
        <v>1</v>
      </c>
      <c r="D200">
        <f t="shared" ca="1" si="38"/>
        <v>16</v>
      </c>
      <c r="E200">
        <f t="shared" ca="1" si="39"/>
        <v>5</v>
      </c>
      <c r="F200">
        <f t="shared" ca="1" si="40"/>
        <v>0</v>
      </c>
      <c r="G200">
        <f t="shared" ca="1" si="41"/>
        <v>9</v>
      </c>
      <c r="H200">
        <f t="shared" ca="1" si="30"/>
        <v>0</v>
      </c>
      <c r="I200">
        <f t="shared" ca="1" si="31"/>
        <v>0</v>
      </c>
      <c r="J200" s="394" t="s">
        <v>103</v>
      </c>
      <c r="K200" s="162" t="str">
        <f t="shared" ca="1" si="42"/>
        <v>1.16.5.0.9.</v>
      </c>
      <c r="L200" s="395" t="s">
        <v>580</v>
      </c>
      <c r="M200" s="395" t="s">
        <v>577</v>
      </c>
      <c r="N200" s="397" t="s">
        <v>546</v>
      </c>
      <c r="O200" s="398" t="s">
        <v>259</v>
      </c>
      <c r="P200" s="399">
        <v>3</v>
      </c>
      <c r="Q200" s="228"/>
      <c r="R200" s="231" t="s">
        <v>7</v>
      </c>
      <c r="S200" s="121">
        <f t="shared" si="45"/>
        <v>0</v>
      </c>
      <c r="T200" s="98">
        <f t="shared" si="46"/>
        <v>0</v>
      </c>
      <c r="U200" s="13" t="str">
        <f t="shared" si="43"/>
        <v>SEM VALOR</v>
      </c>
      <c r="V200" s="4" t="str">
        <f ca="1">IF(OR($A200=0,$A200="S",$A200&gt;CFF!$A$9),"",MAX(V$12:OFFSET(V200,-1,0))+1)</f>
        <v/>
      </c>
      <c r="W200" s="9" t="str">
        <f t="shared" si="44"/>
        <v>SEINFRA-C1661</v>
      </c>
      <c r="X200" s="4" t="e">
        <f t="shared" ca="1" si="47"/>
        <v>#REF!</v>
      </c>
      <c r="Y200" s="121">
        <v>117.441564</v>
      </c>
      <c r="Z200" s="132">
        <f ca="1">ROUND(IF(ISNUMBER(R200),R200,IF(LEFT(R200,3)="BDI",HLOOKUP(R200,DADOS!$T$37:$X$38,2,FALSE),0)),15-11*$X$5)</f>
        <v>0.27639999999999998</v>
      </c>
      <c r="AA200" s="4"/>
    </row>
    <row r="201" spans="1:27" x14ac:dyDescent="0.2">
      <c r="A201" t="str">
        <f t="shared" si="35"/>
        <v>S</v>
      </c>
      <c r="B201">
        <f t="shared" si="36"/>
        <v>0</v>
      </c>
      <c r="C201">
        <f t="shared" ca="1" si="37"/>
        <v>1</v>
      </c>
      <c r="D201">
        <f t="shared" ca="1" si="38"/>
        <v>16</v>
      </c>
      <c r="E201">
        <f t="shared" ca="1" si="39"/>
        <v>5</v>
      </c>
      <c r="F201">
        <f t="shared" ca="1" si="40"/>
        <v>0</v>
      </c>
      <c r="G201">
        <f t="shared" ca="1" si="41"/>
        <v>10</v>
      </c>
      <c r="H201">
        <f t="shared" ca="1" si="30"/>
        <v>0</v>
      </c>
      <c r="I201">
        <f t="shared" ca="1" si="31"/>
        <v>0</v>
      </c>
      <c r="J201" s="394" t="s">
        <v>103</v>
      </c>
      <c r="K201" s="162" t="str">
        <f t="shared" ca="1" si="42"/>
        <v>1.16.5.0.10.</v>
      </c>
      <c r="L201" s="395" t="s">
        <v>580</v>
      </c>
      <c r="M201" s="395" t="s">
        <v>578</v>
      </c>
      <c r="N201" s="397" t="s">
        <v>547</v>
      </c>
      <c r="O201" s="398" t="s">
        <v>259</v>
      </c>
      <c r="P201" s="399">
        <v>13</v>
      </c>
      <c r="Q201" s="228"/>
      <c r="R201" s="231" t="s">
        <v>7</v>
      </c>
      <c r="S201" s="121">
        <f t="shared" si="45"/>
        <v>0</v>
      </c>
      <c r="T201" s="98">
        <f t="shared" si="46"/>
        <v>0</v>
      </c>
      <c r="U201" s="13" t="str">
        <f t="shared" si="43"/>
        <v>SEM VALOR</v>
      </c>
      <c r="V201" s="4" t="str">
        <f ca="1">IF(OR($A201=0,$A201="S",$A201&gt;CFF!$A$9),"",MAX(V$12:OFFSET(V201,-1,0))+1)</f>
        <v/>
      </c>
      <c r="W201" s="9" t="str">
        <f t="shared" si="44"/>
        <v>SEINFRA-C2045</v>
      </c>
      <c r="X201" s="4" t="e">
        <f t="shared" ca="1" si="47"/>
        <v>#REF!</v>
      </c>
      <c r="Y201" s="121">
        <v>479.55624399999999</v>
      </c>
      <c r="Z201" s="132">
        <f ca="1">ROUND(IF(ISNUMBER(R201),R201,IF(LEFT(R201,3)="BDI",HLOOKUP(R201,DADOS!$T$37:$X$38,2,FALSE),0)),15-11*$X$5)</f>
        <v>0.27639999999999998</v>
      </c>
      <c r="AA201" s="4"/>
    </row>
    <row r="202" spans="1:27" x14ac:dyDescent="0.2">
      <c r="A202" t="str">
        <f t="shared" si="35"/>
        <v>S</v>
      </c>
      <c r="B202">
        <f t="shared" si="36"/>
        <v>0</v>
      </c>
      <c r="C202">
        <f t="shared" ca="1" si="37"/>
        <v>1</v>
      </c>
      <c r="D202">
        <f t="shared" ca="1" si="38"/>
        <v>16</v>
      </c>
      <c r="E202">
        <f t="shared" ca="1" si="39"/>
        <v>5</v>
      </c>
      <c r="F202">
        <f t="shared" ca="1" si="40"/>
        <v>0</v>
      </c>
      <c r="G202">
        <f t="shared" ca="1" si="41"/>
        <v>11</v>
      </c>
      <c r="H202">
        <f t="shared" ca="1" si="30"/>
        <v>0</v>
      </c>
      <c r="I202">
        <f t="shared" ca="1" si="31"/>
        <v>0</v>
      </c>
      <c r="J202" s="394" t="s">
        <v>103</v>
      </c>
      <c r="K202" s="162" t="str">
        <f t="shared" ca="1" si="42"/>
        <v>1.16.5.0.11.</v>
      </c>
      <c r="L202" s="395" t="s">
        <v>347</v>
      </c>
      <c r="M202" s="395" t="s">
        <v>579</v>
      </c>
      <c r="N202" s="397" t="s">
        <v>548</v>
      </c>
      <c r="O202" s="398" t="s">
        <v>259</v>
      </c>
      <c r="P202" s="399">
        <v>10</v>
      </c>
      <c r="Q202" s="228"/>
      <c r="R202" s="231" t="s">
        <v>7</v>
      </c>
      <c r="S202" s="121">
        <f t="shared" si="45"/>
        <v>0</v>
      </c>
      <c r="T202" s="98">
        <f t="shared" si="46"/>
        <v>0</v>
      </c>
      <c r="U202" s="13" t="str">
        <f t="shared" si="43"/>
        <v>SEM VALOR</v>
      </c>
      <c r="V202" s="4" t="str">
        <f ca="1">IF(OR($A202=0,$A202="S",$A202&gt;CFF!$A$9),"",MAX(V$12:OFFSET(V202,-1,0))+1)</f>
        <v/>
      </c>
      <c r="W202" s="9" t="str">
        <f t="shared" si="44"/>
        <v>SINAPI-98307</v>
      </c>
      <c r="X202" s="4" t="e">
        <f t="shared" ca="1" si="47"/>
        <v>#REF!</v>
      </c>
      <c r="Y202" s="121">
        <v>55.625512000000001</v>
      </c>
      <c r="Z202" s="132">
        <f ca="1">ROUND(IF(ISNUMBER(R202),R202,IF(LEFT(R202,3)="BDI",HLOOKUP(R202,DADOS!$T$37:$X$38,2,FALSE),0)),15-11*$X$5)</f>
        <v>0.27639999999999998</v>
      </c>
      <c r="AA202" s="4"/>
    </row>
    <row r="203" spans="1:27" x14ac:dyDescent="0.2">
      <c r="A203">
        <f t="shared" si="35"/>
        <v>2</v>
      </c>
      <c r="B203">
        <f t="shared" ca="1" si="36"/>
        <v>9</v>
      </c>
      <c r="C203">
        <f t="shared" ca="1" si="37"/>
        <v>1</v>
      </c>
      <c r="D203">
        <f t="shared" ca="1" si="38"/>
        <v>17</v>
      </c>
      <c r="E203">
        <f t="shared" ca="1" si="39"/>
        <v>0</v>
      </c>
      <c r="F203">
        <f t="shared" ca="1" si="40"/>
        <v>0</v>
      </c>
      <c r="G203">
        <f t="shared" ca="1" si="41"/>
        <v>0</v>
      </c>
      <c r="H203">
        <f t="shared" ca="1" si="30"/>
        <v>24</v>
      </c>
      <c r="I203">
        <f t="shared" ca="1" si="31"/>
        <v>9</v>
      </c>
      <c r="J203" s="394" t="s">
        <v>100</v>
      </c>
      <c r="K203" s="162" t="str">
        <f t="shared" ca="1" si="42"/>
        <v>1.17.</v>
      </c>
      <c r="L203" s="395"/>
      <c r="M203" s="395"/>
      <c r="N203" s="397" t="s">
        <v>581</v>
      </c>
      <c r="O203" s="398"/>
      <c r="P203" s="399"/>
      <c r="Q203" s="228"/>
      <c r="R203" s="231" t="s">
        <v>7</v>
      </c>
      <c r="S203" s="121">
        <f t="shared" si="45"/>
        <v>0</v>
      </c>
      <c r="T203" s="98">
        <f t="shared" ca="1" si="46"/>
        <v>0</v>
      </c>
      <c r="U203" s="13" t="str">
        <f t="shared" ca="1" si="43"/>
        <v>SEM VALOR</v>
      </c>
      <c r="V203" s="4">
        <f ca="1">IF(OR($A203=0,$A203="S",$A203&gt;CFF!$A$9),"",MAX(V$12:OFFSET(V203,-1,0))+1)</f>
        <v>18</v>
      </c>
      <c r="W203" s="9" t="b">
        <f t="shared" si="44"/>
        <v>0</v>
      </c>
      <c r="X203" s="4" t="str">
        <f t="shared" ca="1" si="47"/>
        <v>X</v>
      </c>
      <c r="Y203" s="121">
        <v>0</v>
      </c>
      <c r="Z203" s="132">
        <f ca="1">ROUND(IF(ISNUMBER(R203),R203,IF(LEFT(R203,3)="BDI",HLOOKUP(R203,DADOS!$T$37:$X$38,2,FALSE),0)),15-11*$X$5)</f>
        <v>0.27639999999999998</v>
      </c>
      <c r="AA203" s="4"/>
    </row>
    <row r="204" spans="1:27" x14ac:dyDescent="0.2">
      <c r="A204" t="str">
        <f t="shared" si="35"/>
        <v>S</v>
      </c>
      <c r="B204">
        <f t="shared" si="36"/>
        <v>0</v>
      </c>
      <c r="C204">
        <f t="shared" ca="1" si="37"/>
        <v>1</v>
      </c>
      <c r="D204">
        <f t="shared" ca="1" si="38"/>
        <v>17</v>
      </c>
      <c r="E204">
        <f t="shared" ca="1" si="39"/>
        <v>0</v>
      </c>
      <c r="F204">
        <f t="shared" ca="1" si="40"/>
        <v>0</v>
      </c>
      <c r="G204">
        <f t="shared" ca="1" si="41"/>
        <v>1</v>
      </c>
      <c r="H204">
        <f t="shared" ca="1" si="30"/>
        <v>0</v>
      </c>
      <c r="I204">
        <f t="shared" ca="1" si="31"/>
        <v>0</v>
      </c>
      <c r="J204" s="394" t="s">
        <v>103</v>
      </c>
      <c r="K204" s="162" t="str">
        <f t="shared" ca="1" si="42"/>
        <v>1.17.0.0.1.</v>
      </c>
      <c r="L204" s="395" t="s">
        <v>347</v>
      </c>
      <c r="M204" s="395" t="s">
        <v>590</v>
      </c>
      <c r="N204" s="397" t="s">
        <v>582</v>
      </c>
      <c r="O204" s="398" t="s">
        <v>259</v>
      </c>
      <c r="P204" s="399">
        <v>1</v>
      </c>
      <c r="Q204" s="228"/>
      <c r="R204" s="231" t="s">
        <v>7</v>
      </c>
      <c r="S204" s="121">
        <f t="shared" si="45"/>
        <v>0</v>
      </c>
      <c r="T204" s="98">
        <f t="shared" si="46"/>
        <v>0</v>
      </c>
      <c r="U204" s="13" t="str">
        <f t="shared" si="43"/>
        <v>SEM VALOR</v>
      </c>
      <c r="V204" s="4" t="str">
        <f ca="1">IF(OR($A204=0,$A204="S",$A204&gt;CFF!$A$9),"",MAX(V$12:OFFSET(V204,-1,0))+1)</f>
        <v/>
      </c>
      <c r="W204" s="9" t="str">
        <f t="shared" si="44"/>
        <v>SINAPI-96989</v>
      </c>
      <c r="X204" s="4" t="e">
        <f t="shared" ca="1" si="47"/>
        <v>#REF!</v>
      </c>
      <c r="Y204" s="121">
        <v>179.18103199999999</v>
      </c>
      <c r="Z204" s="132">
        <f ca="1">ROUND(IF(ISNUMBER(R204),R204,IF(LEFT(R204,3)="BDI",HLOOKUP(R204,DADOS!$T$37:$X$38,2,FALSE),0)),15-11*$X$5)</f>
        <v>0.27639999999999998</v>
      </c>
      <c r="AA204" s="4"/>
    </row>
    <row r="205" spans="1:27" x14ac:dyDescent="0.2">
      <c r="A205" t="str">
        <f t="shared" si="35"/>
        <v>S</v>
      </c>
      <c r="B205">
        <f t="shared" si="36"/>
        <v>0</v>
      </c>
      <c r="C205">
        <f t="shared" ca="1" si="37"/>
        <v>1</v>
      </c>
      <c r="D205">
        <f t="shared" ca="1" si="38"/>
        <v>17</v>
      </c>
      <c r="E205">
        <f t="shared" ca="1" si="39"/>
        <v>0</v>
      </c>
      <c r="F205">
        <f t="shared" ca="1" si="40"/>
        <v>0</v>
      </c>
      <c r="G205">
        <f t="shared" ca="1" si="41"/>
        <v>2</v>
      </c>
      <c r="H205">
        <f t="shared" ca="1" si="30"/>
        <v>0</v>
      </c>
      <c r="I205">
        <f t="shared" ca="1" si="31"/>
        <v>0</v>
      </c>
      <c r="J205" s="394" t="s">
        <v>103</v>
      </c>
      <c r="K205" s="162" t="str">
        <f t="shared" ca="1" si="42"/>
        <v>1.17.0.0.2.</v>
      </c>
      <c r="L205" s="395" t="s">
        <v>580</v>
      </c>
      <c r="M205" s="395" t="s">
        <v>591</v>
      </c>
      <c r="N205" s="397" t="s">
        <v>583</v>
      </c>
      <c r="O205" s="398" t="s">
        <v>275</v>
      </c>
      <c r="P205" s="399">
        <v>26</v>
      </c>
      <c r="Q205" s="228"/>
      <c r="R205" s="231" t="s">
        <v>7</v>
      </c>
      <c r="S205" s="121">
        <f t="shared" si="45"/>
        <v>0</v>
      </c>
      <c r="T205" s="98">
        <f t="shared" si="46"/>
        <v>0</v>
      </c>
      <c r="U205" s="13" t="str">
        <f t="shared" si="43"/>
        <v>SEM VALOR</v>
      </c>
      <c r="V205" s="4" t="str">
        <f ca="1">IF(OR($A205=0,$A205="S",$A205&gt;CFF!$A$9),"",MAX(V$12:OFFSET(V205,-1,0))+1)</f>
        <v/>
      </c>
      <c r="W205" s="9" t="str">
        <f t="shared" si="44"/>
        <v>SEINFRA-C3478</v>
      </c>
      <c r="X205" s="4" t="e">
        <f t="shared" ca="1" si="47"/>
        <v>#REF!</v>
      </c>
      <c r="Y205" s="121">
        <v>19.260876</v>
      </c>
      <c r="Z205" s="132">
        <f ca="1">ROUND(IF(ISNUMBER(R205),R205,IF(LEFT(R205,3)="BDI",HLOOKUP(R205,DADOS!$T$37:$X$38,2,FALSE),0)),15-11*$X$5)</f>
        <v>0.27639999999999998</v>
      </c>
      <c r="AA205" s="4"/>
    </row>
    <row r="206" spans="1:27" x14ac:dyDescent="0.2">
      <c r="A206" t="str">
        <f t="shared" si="35"/>
        <v>S</v>
      </c>
      <c r="B206">
        <f t="shared" si="36"/>
        <v>0</v>
      </c>
      <c r="C206">
        <f t="shared" ca="1" si="37"/>
        <v>1</v>
      </c>
      <c r="D206">
        <f t="shared" ca="1" si="38"/>
        <v>17</v>
      </c>
      <c r="E206">
        <f t="shared" ca="1" si="39"/>
        <v>0</v>
      </c>
      <c r="F206">
        <f t="shared" ca="1" si="40"/>
        <v>0</v>
      </c>
      <c r="G206">
        <f t="shared" ca="1" si="41"/>
        <v>3</v>
      </c>
      <c r="H206">
        <f t="shared" ca="1" si="30"/>
        <v>0</v>
      </c>
      <c r="I206">
        <f t="shared" ca="1" si="31"/>
        <v>0</v>
      </c>
      <c r="J206" s="394" t="s">
        <v>103</v>
      </c>
      <c r="K206" s="162" t="str">
        <f t="shared" ca="1" si="42"/>
        <v>1.17.0.0.3.</v>
      </c>
      <c r="L206" s="395" t="s">
        <v>347</v>
      </c>
      <c r="M206" s="395" t="s">
        <v>592</v>
      </c>
      <c r="N206" s="397" t="s">
        <v>584</v>
      </c>
      <c r="O206" s="398" t="s">
        <v>259</v>
      </c>
      <c r="P206" s="399">
        <v>26</v>
      </c>
      <c r="Q206" s="228"/>
      <c r="R206" s="231" t="s">
        <v>7</v>
      </c>
      <c r="S206" s="121">
        <f t="shared" si="45"/>
        <v>0</v>
      </c>
      <c r="T206" s="98">
        <f t="shared" si="46"/>
        <v>0</v>
      </c>
      <c r="U206" s="13" t="str">
        <f t="shared" si="43"/>
        <v>SEM VALOR</v>
      </c>
      <c r="V206" s="4" t="str">
        <f ca="1">IF(OR($A206=0,$A206="S",$A206&gt;CFF!$A$9),"",MAX(V$12:OFFSET(V206,-1,0))+1)</f>
        <v/>
      </c>
      <c r="W206" s="9" t="str">
        <f t="shared" si="44"/>
        <v>SINAPI-98463</v>
      </c>
      <c r="X206" s="4" t="e">
        <f t="shared" ca="1" si="47"/>
        <v>#REF!</v>
      </c>
      <c r="Y206" s="121">
        <v>21.264824000000001</v>
      </c>
      <c r="Z206" s="132">
        <f ca="1">ROUND(IF(ISNUMBER(R206),R206,IF(LEFT(R206,3)="BDI",HLOOKUP(R206,DADOS!$T$37:$X$38,2,FALSE),0)),15-11*$X$5)</f>
        <v>0.27639999999999998</v>
      </c>
      <c r="AA206" s="4"/>
    </row>
    <row r="207" spans="1:27" x14ac:dyDescent="0.2">
      <c r="A207" t="str">
        <f t="shared" si="35"/>
        <v>S</v>
      </c>
      <c r="B207">
        <f t="shared" si="36"/>
        <v>0</v>
      </c>
      <c r="C207">
        <f t="shared" ca="1" si="37"/>
        <v>1</v>
      </c>
      <c r="D207">
        <f t="shared" ca="1" si="38"/>
        <v>17</v>
      </c>
      <c r="E207">
        <f t="shared" ca="1" si="39"/>
        <v>0</v>
      </c>
      <c r="F207">
        <f t="shared" ca="1" si="40"/>
        <v>0</v>
      </c>
      <c r="G207">
        <f t="shared" ca="1" si="41"/>
        <v>4</v>
      </c>
      <c r="H207">
        <f t="shared" ca="1" si="30"/>
        <v>0</v>
      </c>
      <c r="I207">
        <f t="shared" ca="1" si="31"/>
        <v>0</v>
      </c>
      <c r="J207" s="394" t="s">
        <v>103</v>
      </c>
      <c r="K207" s="162" t="str">
        <f t="shared" ca="1" si="42"/>
        <v>1.17.0.0.4.</v>
      </c>
      <c r="L207" s="395" t="s">
        <v>236</v>
      </c>
      <c r="M207" s="395">
        <v>160004</v>
      </c>
      <c r="N207" s="397" t="s">
        <v>585</v>
      </c>
      <c r="O207" s="398" t="s">
        <v>259</v>
      </c>
      <c r="P207" s="399">
        <v>26</v>
      </c>
      <c r="Q207" s="228"/>
      <c r="R207" s="231" t="s">
        <v>7</v>
      </c>
      <c r="S207" s="121">
        <f t="shared" si="45"/>
        <v>0</v>
      </c>
      <c r="T207" s="98">
        <f t="shared" si="46"/>
        <v>0</v>
      </c>
      <c r="U207" s="13" t="str">
        <f t="shared" si="43"/>
        <v>SEM VALOR</v>
      </c>
      <c r="V207" s="4" t="str">
        <f ca="1">IF(OR($A207=0,$A207="S",$A207&gt;CFF!$A$9),"",MAX(V$12:OFFSET(V207,-1,0))+1)</f>
        <v/>
      </c>
      <c r="W207" s="9" t="str">
        <f t="shared" si="44"/>
        <v>SEE/MG-160004</v>
      </c>
      <c r="X207" s="4" t="e">
        <f t="shared" ca="1" si="47"/>
        <v>#REF!</v>
      </c>
      <c r="Y207" s="121">
        <v>97.976464000000007</v>
      </c>
      <c r="Z207" s="132">
        <f ca="1">ROUND(IF(ISNUMBER(R207),R207,IF(LEFT(R207,3)="BDI",HLOOKUP(R207,DADOS!$T$37:$X$38,2,FALSE),0)),15-11*$X$5)</f>
        <v>0.27639999999999998</v>
      </c>
      <c r="AA207" s="4"/>
    </row>
    <row r="208" spans="1:27" ht="25.5" x14ac:dyDescent="0.2">
      <c r="A208" t="str">
        <f t="shared" si="35"/>
        <v>S</v>
      </c>
      <c r="B208">
        <f t="shared" si="36"/>
        <v>0</v>
      </c>
      <c r="C208">
        <f t="shared" ca="1" si="37"/>
        <v>1</v>
      </c>
      <c r="D208">
        <f t="shared" ca="1" si="38"/>
        <v>17</v>
      </c>
      <c r="E208">
        <f t="shared" ca="1" si="39"/>
        <v>0</v>
      </c>
      <c r="F208">
        <f t="shared" ca="1" si="40"/>
        <v>0</v>
      </c>
      <c r="G208">
        <f t="shared" ca="1" si="41"/>
        <v>5</v>
      </c>
      <c r="H208">
        <f t="shared" ref="H208:H226" ca="1" si="48">IF(OR($A208="S",$A208=0),0,MATCH(0,OFFSET($B208,1,$A208,ROW($A$227)-ROW($A208)),0))</f>
        <v>0</v>
      </c>
      <c r="I208">
        <f t="shared" ref="I208:I226" ca="1" si="49">IF(OR($A208="S",$A208=0),0,MATCH(OFFSET($B208,0,$A208)+1,OFFSET($B208,1,$A208,ROW($A$227)-ROW($A208)),0))</f>
        <v>0</v>
      </c>
      <c r="J208" s="394" t="s">
        <v>103</v>
      </c>
      <c r="K208" s="162" t="str">
        <f t="shared" ca="1" si="42"/>
        <v>1.17.0.0.5.</v>
      </c>
      <c r="L208" s="395" t="s">
        <v>347</v>
      </c>
      <c r="M208" s="395" t="s">
        <v>593</v>
      </c>
      <c r="N208" s="397" t="s">
        <v>586</v>
      </c>
      <c r="O208" s="398" t="s">
        <v>275</v>
      </c>
      <c r="P208" s="399">
        <v>449.2</v>
      </c>
      <c r="Q208" s="228"/>
      <c r="R208" s="231" t="s">
        <v>7</v>
      </c>
      <c r="S208" s="121">
        <f t="shared" si="45"/>
        <v>0</v>
      </c>
      <c r="T208" s="98">
        <f t="shared" si="46"/>
        <v>0</v>
      </c>
      <c r="U208" s="13" t="str">
        <f t="shared" si="43"/>
        <v>SEM VALOR</v>
      </c>
      <c r="V208" s="4" t="str">
        <f ca="1">IF(OR($A208=0,$A208="S",$A208&gt;CFF!$A$9),"",MAX(V$12:OFFSET(V208,-1,0))+1)</f>
        <v/>
      </c>
      <c r="W208" s="9" t="str">
        <f t="shared" si="44"/>
        <v>SINAPI-96973</v>
      </c>
      <c r="X208" s="4" t="e">
        <f t="shared" ca="1" si="47"/>
        <v>#REF!</v>
      </c>
      <c r="Y208" s="121">
        <v>62.684004000000002</v>
      </c>
      <c r="Z208" s="132">
        <f ca="1">ROUND(IF(ISNUMBER(R208),R208,IF(LEFT(R208,3)="BDI",HLOOKUP(R208,DADOS!$T$37:$X$38,2,FALSE),0)),15-11*$X$5)</f>
        <v>0.27639999999999998</v>
      </c>
      <c r="AA208" s="4"/>
    </row>
    <row r="209" spans="1:27" ht="25.5" x14ac:dyDescent="0.2">
      <c r="A209" t="str">
        <f t="shared" ref="A209:A226" si="50">CHOOSE(1+LOG(1+2*(J209="Meta")+4*(J209="Nível 2")+8*(J209="Nível 3")+16*(J209="Nível 4")+32*(J209="Serviço"),2),0,1,2,3,4,"S")</f>
        <v>S</v>
      </c>
      <c r="B209">
        <f t="shared" ref="B209:B226" si="51">IF(OR(A209="S",A209=0),0,IF(ISERROR(I209),H209,SMALL(H209:I209,1)))</f>
        <v>0</v>
      </c>
      <c r="C209">
        <f t="shared" ref="C209:C226" ca="1" si="52">IF($A209=1,OFFSET(C209,-1,0)+1,OFFSET(C209,-1,0))</f>
        <v>1</v>
      </c>
      <c r="D209">
        <f t="shared" ref="D209:D226" ca="1" si="53">IF($A209=1,0,IF($A209=2,OFFSET(D209,-1,0)+1,OFFSET(D209,-1,0)))</f>
        <v>17</v>
      </c>
      <c r="E209">
        <f t="shared" ref="E209:E226" ca="1" si="54">IF(AND($A209&lt;=2,$A209&lt;&gt;0),0,IF($A209=3,OFFSET(E209,-1,0)+1,OFFSET(E209,-1,0)))</f>
        <v>0</v>
      </c>
      <c r="F209">
        <f t="shared" ref="F209:F226" ca="1" si="55">IF(AND($A209&lt;=3,$A209&lt;&gt;0),0,IF($A209=4,OFFSET(F209,-1,0)+1,OFFSET(F209,-1,0)))</f>
        <v>0</v>
      </c>
      <c r="G209">
        <f t="shared" ref="G209:G226" ca="1" si="56">IF(AND($A209&lt;=4,$A209&lt;&gt;0),0,IF($A209="S",OFFSET(G209,-1,0)+1,OFFSET(G209,-1,0)))</f>
        <v>6</v>
      </c>
      <c r="H209">
        <f t="shared" ca="1" si="48"/>
        <v>0</v>
      </c>
      <c r="I209">
        <f t="shared" ca="1" si="49"/>
        <v>0</v>
      </c>
      <c r="J209" s="394" t="s">
        <v>103</v>
      </c>
      <c r="K209" s="162" t="str">
        <f t="shared" ref="K209:K226" ca="1" si="57">IF($A209=0,"-",CONCATENATE(C209&amp;".",IF(AND($A$5&gt;=2,$A209&gt;=2),D209&amp;".",""),IF(AND($A$5&gt;=3,$A209&gt;=3),E209&amp;".",""),IF(AND($A$5&gt;=4,$A209&gt;=4),F209&amp;".",""),IF($A209="S",G209&amp;".","")))</f>
        <v>1.17.0.0.6.</v>
      </c>
      <c r="L209" s="395" t="s">
        <v>347</v>
      </c>
      <c r="M209" s="395" t="s">
        <v>594</v>
      </c>
      <c r="N209" s="397" t="s">
        <v>587</v>
      </c>
      <c r="O209" s="398" t="s">
        <v>275</v>
      </c>
      <c r="P209" s="399">
        <v>305.2</v>
      </c>
      <c r="Q209" s="228"/>
      <c r="R209" s="231" t="s">
        <v>7</v>
      </c>
      <c r="S209" s="121">
        <f t="shared" si="45"/>
        <v>0</v>
      </c>
      <c r="T209" s="98">
        <f t="shared" si="46"/>
        <v>0</v>
      </c>
      <c r="U209" s="13" t="str">
        <f t="shared" ref="U209:U226" si="58">IF($J209="","",IF($N209="","DESCRIÇÃO",IF(AND($J209="Serviço",$O209=""),"UNIDADE",IF($T209&lt;=0,"SEM VALOR",IF(AND($Y209&lt;&gt;"",$Q209&gt;$Y209),"ACIMA REF.","")))))</f>
        <v>SEM VALOR</v>
      </c>
      <c r="V209" s="4" t="str">
        <f ca="1">IF(OR($A209=0,$A209="S",$A209&gt;CFF!$A$9),"",MAX(V$12:OFFSET(V209,-1,0))+1)</f>
        <v/>
      </c>
      <c r="W209" s="9" t="str">
        <f t="shared" ref="W209:W226" si="59">IF(AND($J209="Serviço",$M209&lt;&gt;""),IF($L209="",$M209,CONCATENATE($L209,"-",$M209)))</f>
        <v>SINAPI-96974</v>
      </c>
      <c r="X209" s="4" t="e">
        <f t="shared" ca="1" si="47"/>
        <v>#REF!</v>
      </c>
      <c r="Y209" s="121">
        <v>80.910995999999997</v>
      </c>
      <c r="Z209" s="132">
        <f ca="1">ROUND(IF(ISNUMBER(R209),R209,IF(LEFT(R209,3)="BDI",HLOOKUP(R209,DADOS!$T$37:$X$38,2,FALSE),0)),15-11*$X$5)</f>
        <v>0.27639999999999998</v>
      </c>
      <c r="AA209" s="4"/>
    </row>
    <row r="210" spans="1:27" ht="25.5" x14ac:dyDescent="0.2">
      <c r="A210" t="str">
        <f t="shared" si="50"/>
        <v>S</v>
      </c>
      <c r="B210">
        <f t="shared" si="51"/>
        <v>0</v>
      </c>
      <c r="C210">
        <f t="shared" ca="1" si="52"/>
        <v>1</v>
      </c>
      <c r="D210">
        <f t="shared" ca="1" si="53"/>
        <v>17</v>
      </c>
      <c r="E210">
        <f t="shared" ca="1" si="54"/>
        <v>0</v>
      </c>
      <c r="F210">
        <f t="shared" ca="1" si="55"/>
        <v>0</v>
      </c>
      <c r="G210">
        <f t="shared" ca="1" si="56"/>
        <v>7</v>
      </c>
      <c r="H210">
        <f t="shared" ca="1" si="48"/>
        <v>0</v>
      </c>
      <c r="I210">
        <f t="shared" ca="1" si="49"/>
        <v>0</v>
      </c>
      <c r="J210" s="394" t="s">
        <v>103</v>
      </c>
      <c r="K210" s="162" t="str">
        <f t="shared" ca="1" si="57"/>
        <v>1.17.0.0.7.</v>
      </c>
      <c r="L210" s="395" t="s">
        <v>347</v>
      </c>
      <c r="M210" s="395" t="s">
        <v>595</v>
      </c>
      <c r="N210" s="397" t="s">
        <v>588</v>
      </c>
      <c r="O210" s="398" t="s">
        <v>259</v>
      </c>
      <c r="P210" s="399">
        <v>5</v>
      </c>
      <c r="Q210" s="228"/>
      <c r="R210" s="231" t="s">
        <v>7</v>
      </c>
      <c r="S210" s="121">
        <f t="shared" ref="S210:S226" si="60">IF($A210="S",IF($Q$10="Preço Unitário (R$)",PO.CustoUnitario,ROUND(PO.CustoUnitario*(1+$Z210),15-13*$X$6)),0)</f>
        <v>0</v>
      </c>
      <c r="T210" s="98">
        <f t="shared" ref="T210:T226" si="61">IF($A210="S",VTOTAL1,IF($A210=0,0,ROUND(SomaAgrup,15-13*$X$7)))</f>
        <v>0</v>
      </c>
      <c r="U210" s="13" t="str">
        <f t="shared" si="58"/>
        <v>SEM VALOR</v>
      </c>
      <c r="V210" s="4" t="str">
        <f ca="1">IF(OR($A210=0,$A210="S",$A210&gt;CFF!$A$9),"",MAX(V$12:OFFSET(V210,-1,0))+1)</f>
        <v/>
      </c>
      <c r="W210" s="9" t="str">
        <f t="shared" si="59"/>
        <v>SINAPI-98111</v>
      </c>
      <c r="X210" s="4" t="e">
        <f t="shared" ref="X210:X226" ca="1" si="62">IF(AND(Fonte&lt;&gt;"",Código&lt;&gt;""),MATCH(Fonte&amp;" "&amp;IF(Fonte="sinapi",SUBSTITUTE(SUBSTITUTE(Código,"/00","/"),"/0","/"),Código),INDIRECT("'[Referência "&amp;_xlnm.Database&amp;".xls]Banco'!$a:$a"),0),"X")</f>
        <v>#REF!</v>
      </c>
      <c r="Y210" s="121">
        <v>62.696767999999999</v>
      </c>
      <c r="Z210" s="132">
        <f ca="1">ROUND(IF(ISNUMBER(R210),R210,IF(LEFT(R210,3)="BDI",HLOOKUP(R210,DADOS!$T$37:$X$38,2,FALSE),0)),15-11*$X$5)</f>
        <v>0.27639999999999998</v>
      </c>
      <c r="AA210" s="4"/>
    </row>
    <row r="211" spans="1:27" x14ac:dyDescent="0.2">
      <c r="A211" t="str">
        <f t="shared" si="50"/>
        <v>S</v>
      </c>
      <c r="B211">
        <f t="shared" si="51"/>
        <v>0</v>
      </c>
      <c r="C211">
        <f t="shared" ca="1" si="52"/>
        <v>1</v>
      </c>
      <c r="D211">
        <f t="shared" ca="1" si="53"/>
        <v>17</v>
      </c>
      <c r="E211">
        <f t="shared" ca="1" si="54"/>
        <v>0</v>
      </c>
      <c r="F211">
        <f t="shared" ca="1" si="55"/>
        <v>0</v>
      </c>
      <c r="G211">
        <f t="shared" ca="1" si="56"/>
        <v>8</v>
      </c>
      <c r="H211">
        <f t="shared" ca="1" si="48"/>
        <v>0</v>
      </c>
      <c r="I211">
        <f t="shared" ca="1" si="49"/>
        <v>0</v>
      </c>
      <c r="J211" s="394" t="s">
        <v>103</v>
      </c>
      <c r="K211" s="162" t="str">
        <f t="shared" ca="1" si="57"/>
        <v>1.17.0.0.8.</v>
      </c>
      <c r="L211" s="395" t="s">
        <v>580</v>
      </c>
      <c r="M211" s="395" t="s">
        <v>596</v>
      </c>
      <c r="N211" s="397" t="s">
        <v>589</v>
      </c>
      <c r="O211" s="398" t="s">
        <v>259</v>
      </c>
      <c r="P211" s="399">
        <v>26</v>
      </c>
      <c r="Q211" s="228"/>
      <c r="R211" s="231" t="s">
        <v>7</v>
      </c>
      <c r="S211" s="121">
        <f t="shared" si="60"/>
        <v>0</v>
      </c>
      <c r="T211" s="98">
        <f t="shared" si="61"/>
        <v>0</v>
      </c>
      <c r="U211" s="13" t="str">
        <f t="shared" si="58"/>
        <v>SEM VALOR</v>
      </c>
      <c r="V211" s="4" t="str">
        <f ca="1">IF(OR($A211=0,$A211="S",$A211&gt;CFF!$A$9),"",MAX(V$12:OFFSET(V211,-1,0))+1)</f>
        <v/>
      </c>
      <c r="W211" s="9" t="str">
        <f t="shared" si="59"/>
        <v>SEINFRA-C2457</v>
      </c>
      <c r="X211" s="4" t="e">
        <f t="shared" ca="1" si="62"/>
        <v>#REF!</v>
      </c>
      <c r="Y211" s="121">
        <v>15.06152</v>
      </c>
      <c r="Z211" s="132">
        <f ca="1">ROUND(IF(ISNUMBER(R211),R211,IF(LEFT(R211,3)="BDI",HLOOKUP(R211,DADOS!$T$37:$X$38,2,FALSE),0)),15-11*$X$5)</f>
        <v>0.27639999999999998</v>
      </c>
      <c r="AA211" s="4"/>
    </row>
    <row r="212" spans="1:27" x14ac:dyDescent="0.2">
      <c r="A212">
        <f t="shared" si="50"/>
        <v>2</v>
      </c>
      <c r="B212">
        <f t="shared" ca="1" si="51"/>
        <v>13</v>
      </c>
      <c r="C212">
        <f t="shared" ca="1" si="52"/>
        <v>1</v>
      </c>
      <c r="D212">
        <f t="shared" ca="1" si="53"/>
        <v>18</v>
      </c>
      <c r="E212">
        <f t="shared" ca="1" si="54"/>
        <v>0</v>
      </c>
      <c r="F212">
        <f t="shared" ca="1" si="55"/>
        <v>0</v>
      </c>
      <c r="G212">
        <f t="shared" ca="1" si="56"/>
        <v>0</v>
      </c>
      <c r="H212">
        <f t="shared" ca="1" si="48"/>
        <v>15</v>
      </c>
      <c r="I212">
        <f t="shared" ca="1" si="49"/>
        <v>13</v>
      </c>
      <c r="J212" s="394" t="s">
        <v>100</v>
      </c>
      <c r="K212" s="162" t="str">
        <f t="shared" ca="1" si="57"/>
        <v>1.18.</v>
      </c>
      <c r="L212" s="395"/>
      <c r="M212" s="395"/>
      <c r="N212" s="397" t="s">
        <v>597</v>
      </c>
      <c r="O212" s="398"/>
      <c r="P212" s="399"/>
      <c r="Q212" s="228"/>
      <c r="R212" s="231" t="s">
        <v>7</v>
      </c>
      <c r="S212" s="121">
        <f t="shared" si="60"/>
        <v>0</v>
      </c>
      <c r="T212" s="98">
        <f t="shared" ca="1" si="61"/>
        <v>0</v>
      </c>
      <c r="U212" s="13" t="str">
        <f t="shared" ca="1" si="58"/>
        <v>SEM VALOR</v>
      </c>
      <c r="V212" s="4">
        <f ca="1">IF(OR($A212=0,$A212="S",$A212&gt;CFF!$A$9),"",MAX(V$12:OFFSET(V212,-1,0))+1)</f>
        <v>19</v>
      </c>
      <c r="W212" s="9" t="b">
        <f t="shared" si="59"/>
        <v>0</v>
      </c>
      <c r="X212" s="4" t="str">
        <f t="shared" ca="1" si="62"/>
        <v>X</v>
      </c>
      <c r="Y212" s="121">
        <v>0</v>
      </c>
      <c r="Z212" s="132">
        <f ca="1">ROUND(IF(ISNUMBER(R212),R212,IF(LEFT(R212,3)="BDI",HLOOKUP(R212,DADOS!$T$37:$X$38,2,FALSE),0)),15-11*$X$5)</f>
        <v>0.27639999999999998</v>
      </c>
      <c r="AA212" s="4"/>
    </row>
    <row r="213" spans="1:27" x14ac:dyDescent="0.2">
      <c r="A213">
        <f t="shared" si="50"/>
        <v>3</v>
      </c>
      <c r="B213">
        <f t="shared" ca="1" si="51"/>
        <v>6</v>
      </c>
      <c r="C213">
        <f t="shared" ca="1" si="52"/>
        <v>1</v>
      </c>
      <c r="D213">
        <f t="shared" ca="1" si="53"/>
        <v>18</v>
      </c>
      <c r="E213">
        <f t="shared" ca="1" si="54"/>
        <v>1</v>
      </c>
      <c r="F213">
        <f t="shared" ca="1" si="55"/>
        <v>0</v>
      </c>
      <c r="G213">
        <f t="shared" ca="1" si="56"/>
        <v>0</v>
      </c>
      <c r="H213">
        <f t="shared" ca="1" si="48"/>
        <v>12</v>
      </c>
      <c r="I213">
        <f t="shared" ca="1" si="49"/>
        <v>6</v>
      </c>
      <c r="J213" s="394" t="s">
        <v>101</v>
      </c>
      <c r="K213" s="162" t="str">
        <f t="shared" ca="1" si="57"/>
        <v>1.18.1.</v>
      </c>
      <c r="L213" s="395"/>
      <c r="M213" s="395"/>
      <c r="N213" s="397" t="s">
        <v>598</v>
      </c>
      <c r="O213" s="398"/>
      <c r="P213" s="399"/>
      <c r="Q213" s="228"/>
      <c r="R213" s="231" t="s">
        <v>7</v>
      </c>
      <c r="S213" s="121">
        <f t="shared" si="60"/>
        <v>0</v>
      </c>
      <c r="T213" s="98">
        <f t="shared" ca="1" si="61"/>
        <v>0</v>
      </c>
      <c r="U213" s="13" t="str">
        <f t="shared" ca="1" si="58"/>
        <v>SEM VALOR</v>
      </c>
      <c r="V213" s="4" t="str">
        <f ca="1">IF(OR($A213=0,$A213="S",$A213&gt;CFF!$A$9),"",MAX(V$12:OFFSET(V213,-1,0))+1)</f>
        <v/>
      </c>
      <c r="W213" s="9" t="b">
        <f t="shared" si="59"/>
        <v>0</v>
      </c>
      <c r="X213" s="4" t="str">
        <f t="shared" ca="1" si="62"/>
        <v>X</v>
      </c>
      <c r="Y213" s="121">
        <v>0</v>
      </c>
      <c r="Z213" s="132">
        <f ca="1">ROUND(IF(ISNUMBER(R213),R213,IF(LEFT(R213,3)="BDI",HLOOKUP(R213,DADOS!$T$37:$X$38,2,FALSE),0)),15-11*$X$5)</f>
        <v>0.27639999999999998</v>
      </c>
      <c r="AA213" s="4"/>
    </row>
    <row r="214" spans="1:27" x14ac:dyDescent="0.2">
      <c r="A214" t="str">
        <f t="shared" si="50"/>
        <v>S</v>
      </c>
      <c r="B214">
        <f t="shared" si="51"/>
        <v>0</v>
      </c>
      <c r="C214">
        <f t="shared" ca="1" si="52"/>
        <v>1</v>
      </c>
      <c r="D214">
        <f t="shared" ca="1" si="53"/>
        <v>18</v>
      </c>
      <c r="E214">
        <f t="shared" ca="1" si="54"/>
        <v>1</v>
      </c>
      <c r="F214">
        <f t="shared" ca="1" si="55"/>
        <v>0</v>
      </c>
      <c r="G214">
        <f t="shared" ca="1" si="56"/>
        <v>1</v>
      </c>
      <c r="H214">
        <f t="shared" ca="1" si="48"/>
        <v>0</v>
      </c>
      <c r="I214">
        <f t="shared" ca="1" si="49"/>
        <v>0</v>
      </c>
      <c r="J214" s="394" t="s">
        <v>103</v>
      </c>
      <c r="K214" s="162" t="str">
        <f t="shared" ca="1" si="57"/>
        <v>1.18.1.0.1.</v>
      </c>
      <c r="L214" s="395" t="s">
        <v>236</v>
      </c>
      <c r="M214" s="395" t="s">
        <v>599</v>
      </c>
      <c r="N214" s="397" t="s">
        <v>600</v>
      </c>
      <c r="O214" s="398" t="s">
        <v>260</v>
      </c>
      <c r="P214" s="399">
        <v>12.22</v>
      </c>
      <c r="Q214" s="228"/>
      <c r="R214" s="231" t="s">
        <v>7</v>
      </c>
      <c r="S214" s="121">
        <f t="shared" si="60"/>
        <v>0</v>
      </c>
      <c r="T214" s="98">
        <f t="shared" si="61"/>
        <v>0</v>
      </c>
      <c r="U214" s="13" t="str">
        <f t="shared" si="58"/>
        <v>SEM VALOR</v>
      </c>
      <c r="V214" s="4" t="str">
        <f ca="1">IF(OR($A214=0,$A214="S",$A214&gt;CFF!$A$9),"",MAX(V$12:OFFSET(V214,-1,0))+1)</f>
        <v/>
      </c>
      <c r="W214" s="9" t="str">
        <f t="shared" si="59"/>
        <v>SEE/MG-170002</v>
      </c>
      <c r="X214" s="4" t="e">
        <f t="shared" ca="1" si="62"/>
        <v>#REF!</v>
      </c>
      <c r="Y214" s="121">
        <v>389.09777600000001</v>
      </c>
      <c r="Z214" s="132">
        <f ca="1">ROUND(IF(ISNUMBER(R214),R214,IF(LEFT(R214,3)="BDI",HLOOKUP(R214,DADOS!$T$37:$X$38,2,FALSE),0)),15-11*$X$5)</f>
        <v>0.27639999999999998</v>
      </c>
      <c r="AA214" s="4"/>
    </row>
    <row r="215" spans="1:27" x14ac:dyDescent="0.2">
      <c r="A215" t="str">
        <f t="shared" si="50"/>
        <v>S</v>
      </c>
      <c r="B215">
        <f t="shared" si="51"/>
        <v>0</v>
      </c>
      <c r="C215">
        <f t="shared" ca="1" si="52"/>
        <v>1</v>
      </c>
      <c r="D215">
        <f t="shared" ca="1" si="53"/>
        <v>18</v>
      </c>
      <c r="E215">
        <f t="shared" ca="1" si="54"/>
        <v>1</v>
      </c>
      <c r="F215">
        <f t="shared" ca="1" si="55"/>
        <v>0</v>
      </c>
      <c r="G215">
        <f t="shared" ca="1" si="56"/>
        <v>2</v>
      </c>
      <c r="H215">
        <f t="shared" ca="1" si="48"/>
        <v>0</v>
      </c>
      <c r="I215">
        <f t="shared" ca="1" si="49"/>
        <v>0</v>
      </c>
      <c r="J215" s="394" t="s">
        <v>103</v>
      </c>
      <c r="K215" s="162" t="str">
        <f t="shared" ca="1" si="57"/>
        <v>1.18.1.0.2.</v>
      </c>
      <c r="L215" s="395" t="s">
        <v>236</v>
      </c>
      <c r="M215" s="395" t="s">
        <v>601</v>
      </c>
      <c r="N215" s="397" t="s">
        <v>602</v>
      </c>
      <c r="O215" s="398" t="s">
        <v>260</v>
      </c>
      <c r="P215" s="399">
        <v>3.5</v>
      </c>
      <c r="Q215" s="228"/>
      <c r="R215" s="231" t="s">
        <v>7</v>
      </c>
      <c r="S215" s="121">
        <f t="shared" si="60"/>
        <v>0</v>
      </c>
      <c r="T215" s="98">
        <f t="shared" si="61"/>
        <v>0</v>
      </c>
      <c r="U215" s="13" t="str">
        <f t="shared" si="58"/>
        <v>SEM VALOR</v>
      </c>
      <c r="V215" s="4" t="str">
        <f ca="1">IF(OR($A215=0,$A215="S",$A215&gt;CFF!$A$9),"",MAX(V$12:OFFSET(V215,-1,0))+1)</f>
        <v/>
      </c>
      <c r="W215" s="9" t="str">
        <f t="shared" si="59"/>
        <v>SEE/MG-170003</v>
      </c>
      <c r="X215" s="4" t="e">
        <f t="shared" ca="1" si="62"/>
        <v>#REF!</v>
      </c>
      <c r="Y215" s="121">
        <v>263.19367999999997</v>
      </c>
      <c r="Z215" s="132">
        <f ca="1">ROUND(IF(ISNUMBER(R215),R215,IF(LEFT(R215,3)="BDI",HLOOKUP(R215,DADOS!$T$37:$X$38,2,FALSE),0)),15-11*$X$5)</f>
        <v>0.27639999999999998</v>
      </c>
      <c r="AA215" s="4"/>
    </row>
    <row r="216" spans="1:27" x14ac:dyDescent="0.2">
      <c r="A216" t="str">
        <f t="shared" si="50"/>
        <v>S</v>
      </c>
      <c r="B216">
        <f t="shared" si="51"/>
        <v>0</v>
      </c>
      <c r="C216">
        <f t="shared" ca="1" si="52"/>
        <v>1</v>
      </c>
      <c r="D216">
        <f t="shared" ca="1" si="53"/>
        <v>18</v>
      </c>
      <c r="E216">
        <f t="shared" ca="1" si="54"/>
        <v>1</v>
      </c>
      <c r="F216">
        <f t="shared" ca="1" si="55"/>
        <v>0</v>
      </c>
      <c r="G216">
        <f t="shared" ca="1" si="56"/>
        <v>3</v>
      </c>
      <c r="H216">
        <f t="shared" ca="1" si="48"/>
        <v>0</v>
      </c>
      <c r="I216">
        <f t="shared" ca="1" si="49"/>
        <v>0</v>
      </c>
      <c r="J216" s="394" t="s">
        <v>103</v>
      </c>
      <c r="K216" s="162" t="str">
        <f t="shared" ca="1" si="57"/>
        <v>1.18.1.0.3.</v>
      </c>
      <c r="L216" s="395" t="s">
        <v>236</v>
      </c>
      <c r="M216" s="395" t="s">
        <v>603</v>
      </c>
      <c r="N216" s="397" t="s">
        <v>374</v>
      </c>
      <c r="O216" s="398" t="s">
        <v>260</v>
      </c>
      <c r="P216" s="399">
        <v>12.12</v>
      </c>
      <c r="Q216" s="228"/>
      <c r="R216" s="231" t="s">
        <v>7</v>
      </c>
      <c r="S216" s="121">
        <f t="shared" si="60"/>
        <v>0</v>
      </c>
      <c r="T216" s="98">
        <f t="shared" si="61"/>
        <v>0</v>
      </c>
      <c r="U216" s="13" t="str">
        <f t="shared" si="58"/>
        <v>SEM VALOR</v>
      </c>
      <c r="V216" s="4" t="str">
        <f ca="1">IF(OR($A216=0,$A216="S",$A216&gt;CFF!$A$9),"",MAX(V$12:OFFSET(V216,-1,0))+1)</f>
        <v/>
      </c>
      <c r="W216" s="9" t="str">
        <f t="shared" si="59"/>
        <v>SEE/MG-170004</v>
      </c>
      <c r="X216" s="4" t="e">
        <f t="shared" ca="1" si="62"/>
        <v>#REF!</v>
      </c>
      <c r="Y216" s="121">
        <v>269.93307199999998</v>
      </c>
      <c r="Z216" s="132">
        <f ca="1">ROUND(IF(ISNUMBER(R216),R216,IF(LEFT(R216,3)="BDI",HLOOKUP(R216,DADOS!$T$37:$X$38,2,FALSE),0)),15-11*$X$5)</f>
        <v>0.27639999999999998</v>
      </c>
      <c r="AA216" s="4"/>
    </row>
    <row r="217" spans="1:27" x14ac:dyDescent="0.2">
      <c r="A217" t="str">
        <f t="shared" si="50"/>
        <v>S</v>
      </c>
      <c r="B217">
        <f t="shared" si="51"/>
        <v>0</v>
      </c>
      <c r="C217">
        <f t="shared" ca="1" si="52"/>
        <v>1</v>
      </c>
      <c r="D217">
        <f t="shared" ca="1" si="53"/>
        <v>18</v>
      </c>
      <c r="E217">
        <f t="shared" ca="1" si="54"/>
        <v>1</v>
      </c>
      <c r="F217">
        <f t="shared" ca="1" si="55"/>
        <v>0</v>
      </c>
      <c r="G217">
        <f t="shared" ca="1" si="56"/>
        <v>4</v>
      </c>
      <c r="H217">
        <f t="shared" ca="1" si="48"/>
        <v>0</v>
      </c>
      <c r="I217">
        <f t="shared" ca="1" si="49"/>
        <v>0</v>
      </c>
      <c r="J217" s="394" t="s">
        <v>103</v>
      </c>
      <c r="K217" s="162" t="str">
        <f t="shared" ca="1" si="57"/>
        <v>1.18.1.0.4.</v>
      </c>
      <c r="L217" s="395" t="s">
        <v>580</v>
      </c>
      <c r="M217" s="395" t="s">
        <v>618</v>
      </c>
      <c r="N217" s="397" t="s">
        <v>604</v>
      </c>
      <c r="O217" s="398" t="s">
        <v>260</v>
      </c>
      <c r="P217" s="399">
        <v>6.55</v>
      </c>
      <c r="Q217" s="228"/>
      <c r="R217" s="231" t="s">
        <v>7</v>
      </c>
      <c r="S217" s="121">
        <f t="shared" si="60"/>
        <v>0</v>
      </c>
      <c r="T217" s="98">
        <f t="shared" si="61"/>
        <v>0</v>
      </c>
      <c r="U217" s="13" t="str">
        <f t="shared" si="58"/>
        <v>SEM VALOR</v>
      </c>
      <c r="V217" s="4" t="str">
        <f ca="1">IF(OR($A217=0,$A217="S",$A217&gt;CFF!$A$9),"",MAX(V$12:OFFSET(V217,-1,0))+1)</f>
        <v/>
      </c>
      <c r="W217" s="9" t="str">
        <f t="shared" si="59"/>
        <v>SEINFRA-C1960</v>
      </c>
      <c r="X217" s="4" t="e">
        <f t="shared" ca="1" si="62"/>
        <v>#REF!</v>
      </c>
      <c r="Y217" s="121">
        <v>233.44079600000001</v>
      </c>
      <c r="Z217" s="132">
        <f ca="1">ROUND(IF(ISNUMBER(R217),R217,IF(LEFT(R217,3)="BDI",HLOOKUP(R217,DADOS!$T$37:$X$38,2,FALSE),0)),15-11*$X$5)</f>
        <v>0.27639999999999998</v>
      </c>
      <c r="AA217" s="4"/>
    </row>
    <row r="218" spans="1:27" x14ac:dyDescent="0.2">
      <c r="A218" t="str">
        <f t="shared" si="50"/>
        <v>S</v>
      </c>
      <c r="B218">
        <f t="shared" si="51"/>
        <v>0</v>
      </c>
      <c r="C218">
        <f t="shared" ca="1" si="52"/>
        <v>1</v>
      </c>
      <c r="D218">
        <f t="shared" ca="1" si="53"/>
        <v>18</v>
      </c>
      <c r="E218">
        <f t="shared" ca="1" si="54"/>
        <v>1</v>
      </c>
      <c r="F218">
        <f t="shared" ca="1" si="55"/>
        <v>0</v>
      </c>
      <c r="G218">
        <f t="shared" ca="1" si="56"/>
        <v>5</v>
      </c>
      <c r="H218">
        <f t="shared" ca="1" si="48"/>
        <v>0</v>
      </c>
      <c r="I218">
        <f t="shared" ca="1" si="49"/>
        <v>0</v>
      </c>
      <c r="J218" s="394" t="s">
        <v>103</v>
      </c>
      <c r="K218" s="162" t="str">
        <f t="shared" ca="1" si="57"/>
        <v>1.18.1.0.5.</v>
      </c>
      <c r="L218" s="395" t="s">
        <v>580</v>
      </c>
      <c r="M218" s="395" t="s">
        <v>619</v>
      </c>
      <c r="N218" s="397" t="s">
        <v>605</v>
      </c>
      <c r="O218" s="398" t="s">
        <v>316</v>
      </c>
      <c r="P218" s="399">
        <v>1.9</v>
      </c>
      <c r="Q218" s="228"/>
      <c r="R218" s="231" t="s">
        <v>7</v>
      </c>
      <c r="S218" s="121">
        <f t="shared" si="60"/>
        <v>0</v>
      </c>
      <c r="T218" s="98">
        <f t="shared" si="61"/>
        <v>0</v>
      </c>
      <c r="U218" s="13" t="str">
        <f t="shared" si="58"/>
        <v>SEM VALOR</v>
      </c>
      <c r="V218" s="4" t="str">
        <f ca="1">IF(OR($A218=0,$A218="S",$A218&gt;CFF!$A$9),"",MAX(V$12:OFFSET(V218,-1,0))+1)</f>
        <v/>
      </c>
      <c r="W218" s="9" t="str">
        <f t="shared" si="59"/>
        <v>SEINFRA-C2910</v>
      </c>
      <c r="X218" s="4" t="e">
        <f t="shared" ca="1" si="62"/>
        <v>#REF!</v>
      </c>
      <c r="Y218" s="121">
        <v>179.95963599999999</v>
      </c>
      <c r="Z218" s="132">
        <f ca="1">ROUND(IF(ISNUMBER(R218),R218,IF(LEFT(R218,3)="BDI",HLOOKUP(R218,DADOS!$T$37:$X$38,2,FALSE),0)),15-11*$X$5)</f>
        <v>0.27639999999999998</v>
      </c>
      <c r="AA218" s="4"/>
    </row>
    <row r="219" spans="1:27" x14ac:dyDescent="0.2">
      <c r="A219">
        <f t="shared" si="50"/>
        <v>3</v>
      </c>
      <c r="B219">
        <f t="shared" ca="1" si="51"/>
        <v>6</v>
      </c>
      <c r="C219">
        <f t="shared" ca="1" si="52"/>
        <v>1</v>
      </c>
      <c r="D219">
        <f t="shared" ca="1" si="53"/>
        <v>18</v>
      </c>
      <c r="E219">
        <f t="shared" ca="1" si="54"/>
        <v>2</v>
      </c>
      <c r="F219">
        <f t="shared" ca="1" si="55"/>
        <v>0</v>
      </c>
      <c r="G219">
        <f t="shared" ca="1" si="56"/>
        <v>0</v>
      </c>
      <c r="H219">
        <f t="shared" ca="1" si="48"/>
        <v>6</v>
      </c>
      <c r="I219" t="e">
        <f t="shared" ca="1" si="49"/>
        <v>#N/A</v>
      </c>
      <c r="J219" s="394" t="s">
        <v>101</v>
      </c>
      <c r="K219" s="162" t="str">
        <f t="shared" ca="1" si="57"/>
        <v>1.18.2.</v>
      </c>
      <c r="L219" s="396" t="s">
        <v>580</v>
      </c>
      <c r="M219" s="395"/>
      <c r="N219" s="397" t="s">
        <v>606</v>
      </c>
      <c r="O219" s="398"/>
      <c r="P219" s="399"/>
      <c r="Q219" s="228"/>
      <c r="R219" s="231" t="s">
        <v>7</v>
      </c>
      <c r="S219" s="121">
        <f t="shared" si="60"/>
        <v>0</v>
      </c>
      <c r="T219" s="98">
        <f t="shared" ca="1" si="61"/>
        <v>0</v>
      </c>
      <c r="U219" s="13" t="str">
        <f t="shared" ca="1" si="58"/>
        <v>SEM VALOR</v>
      </c>
      <c r="V219" s="4" t="str">
        <f ca="1">IF(OR($A219=0,$A219="S",$A219&gt;CFF!$A$9),"",MAX(V$12:OFFSET(V219,-1,0))+1)</f>
        <v/>
      </c>
      <c r="W219" s="9" t="b">
        <f t="shared" si="59"/>
        <v>0</v>
      </c>
      <c r="X219" s="4" t="str">
        <f t="shared" ca="1" si="62"/>
        <v>X</v>
      </c>
      <c r="Y219" s="121">
        <v>0</v>
      </c>
      <c r="Z219" s="132">
        <f ca="1">ROUND(IF(ISNUMBER(R219),R219,IF(LEFT(R219,3)="BDI",HLOOKUP(R219,DADOS!$T$37:$X$38,2,FALSE),0)),15-11*$X$5)</f>
        <v>0.27639999999999998</v>
      </c>
      <c r="AA219" s="4"/>
    </row>
    <row r="220" spans="1:27" x14ac:dyDescent="0.2">
      <c r="A220" t="str">
        <f t="shared" si="50"/>
        <v>S</v>
      </c>
      <c r="B220">
        <f t="shared" si="51"/>
        <v>0</v>
      </c>
      <c r="C220">
        <f t="shared" ca="1" si="52"/>
        <v>1</v>
      </c>
      <c r="D220">
        <f t="shared" ca="1" si="53"/>
        <v>18</v>
      </c>
      <c r="E220">
        <f t="shared" ca="1" si="54"/>
        <v>2</v>
      </c>
      <c r="F220">
        <f t="shared" ca="1" si="55"/>
        <v>0</v>
      </c>
      <c r="G220">
        <f t="shared" ca="1" si="56"/>
        <v>1</v>
      </c>
      <c r="H220">
        <f t="shared" ca="1" si="48"/>
        <v>0</v>
      </c>
      <c r="I220">
        <f t="shared" ca="1" si="49"/>
        <v>0</v>
      </c>
      <c r="J220" s="394" t="s">
        <v>103</v>
      </c>
      <c r="K220" s="162" t="str">
        <f t="shared" ca="1" si="57"/>
        <v>1.18.2.0.1.</v>
      </c>
      <c r="L220" s="395" t="s">
        <v>580</v>
      </c>
      <c r="M220" s="395" t="s">
        <v>620</v>
      </c>
      <c r="N220" s="397" t="s">
        <v>607</v>
      </c>
      <c r="O220" s="398" t="s">
        <v>259</v>
      </c>
      <c r="P220" s="399">
        <v>1</v>
      </c>
      <c r="Q220" s="228"/>
      <c r="R220" s="231" t="s">
        <v>7</v>
      </c>
      <c r="S220" s="121">
        <f t="shared" si="60"/>
        <v>0</v>
      </c>
      <c r="T220" s="98">
        <f t="shared" si="61"/>
        <v>0</v>
      </c>
      <c r="U220" s="13" t="str">
        <f t="shared" si="58"/>
        <v>SEM VALOR</v>
      </c>
      <c r="V220" s="4" t="str">
        <f ca="1">IF(OR($A220=0,$A220="S",$A220&gt;CFF!$A$9),"",MAX(V$12:OFFSET(V220,-1,0))+1)</f>
        <v/>
      </c>
      <c r="W220" s="9" t="str">
        <f t="shared" si="59"/>
        <v>SEINFRA-C0864</v>
      </c>
      <c r="X220" s="4" t="e">
        <f t="shared" ca="1" si="62"/>
        <v>#REF!</v>
      </c>
      <c r="Y220" s="121">
        <v>4759.1084559999999</v>
      </c>
      <c r="Z220" s="132">
        <f ca="1">ROUND(IF(ISNUMBER(R220),R220,IF(LEFT(R220,3)="BDI",HLOOKUP(R220,DADOS!$T$37:$X$38,2,FALSE),0)),15-11*$X$5)</f>
        <v>0.27639999999999998</v>
      </c>
      <c r="AA220" s="4"/>
    </row>
    <row r="221" spans="1:27" x14ac:dyDescent="0.2">
      <c r="A221" t="str">
        <f t="shared" si="50"/>
        <v>S</v>
      </c>
      <c r="B221">
        <f t="shared" si="51"/>
        <v>0</v>
      </c>
      <c r="C221">
        <f t="shared" ca="1" si="52"/>
        <v>1</v>
      </c>
      <c r="D221">
        <f t="shared" ca="1" si="53"/>
        <v>18</v>
      </c>
      <c r="E221">
        <f t="shared" ca="1" si="54"/>
        <v>2</v>
      </c>
      <c r="F221">
        <f t="shared" ca="1" si="55"/>
        <v>0</v>
      </c>
      <c r="G221">
        <f t="shared" ca="1" si="56"/>
        <v>2</v>
      </c>
      <c r="H221">
        <f t="shared" ca="1" si="48"/>
        <v>0</v>
      </c>
      <c r="I221">
        <f t="shared" ca="1" si="49"/>
        <v>0</v>
      </c>
      <c r="J221" s="394" t="s">
        <v>103</v>
      </c>
      <c r="K221" s="162" t="str">
        <f t="shared" ca="1" si="57"/>
        <v>1.18.2.0.2.</v>
      </c>
      <c r="L221" s="395" t="s">
        <v>236</v>
      </c>
      <c r="M221" s="395" t="s">
        <v>608</v>
      </c>
      <c r="N221" s="397" t="s">
        <v>609</v>
      </c>
      <c r="O221" s="398" t="s">
        <v>275</v>
      </c>
      <c r="P221" s="399">
        <v>14</v>
      </c>
      <c r="Q221" s="228"/>
      <c r="R221" s="231" t="s">
        <v>7</v>
      </c>
      <c r="S221" s="121">
        <f t="shared" si="60"/>
        <v>0</v>
      </c>
      <c r="T221" s="98">
        <f t="shared" si="61"/>
        <v>0</v>
      </c>
      <c r="U221" s="13" t="str">
        <f t="shared" si="58"/>
        <v>SEM VALOR</v>
      </c>
      <c r="V221" s="4" t="str">
        <f ca="1">IF(OR($A221=0,$A221="S",$A221&gt;CFF!$A$9),"",MAX(V$12:OFFSET(V221,-1,0))+1)</f>
        <v/>
      </c>
      <c r="W221" s="9" t="str">
        <f t="shared" si="59"/>
        <v>SEE/MG-170008</v>
      </c>
      <c r="X221" s="4" t="e">
        <f t="shared" ca="1" si="62"/>
        <v>#REF!</v>
      </c>
      <c r="Y221" s="121">
        <v>107.128252</v>
      </c>
      <c r="Z221" s="132">
        <f ca="1">ROUND(IF(ISNUMBER(R221),R221,IF(LEFT(R221,3)="BDI",HLOOKUP(R221,DADOS!$T$37:$X$38,2,FALSE),0)),15-11*$X$5)</f>
        <v>0.27639999999999998</v>
      </c>
      <c r="AA221" s="4"/>
    </row>
    <row r="222" spans="1:27" x14ac:dyDescent="0.2">
      <c r="A222" t="str">
        <f t="shared" si="50"/>
        <v>S</v>
      </c>
      <c r="B222">
        <f t="shared" si="51"/>
        <v>0</v>
      </c>
      <c r="C222">
        <f t="shared" ca="1" si="52"/>
        <v>1</v>
      </c>
      <c r="D222">
        <f t="shared" ca="1" si="53"/>
        <v>18</v>
      </c>
      <c r="E222">
        <f t="shared" ca="1" si="54"/>
        <v>2</v>
      </c>
      <c r="F222">
        <f t="shared" ca="1" si="55"/>
        <v>0</v>
      </c>
      <c r="G222">
        <f t="shared" ca="1" si="56"/>
        <v>3</v>
      </c>
      <c r="H222">
        <f t="shared" ca="1" si="48"/>
        <v>0</v>
      </c>
      <c r="I222">
        <f t="shared" ca="1" si="49"/>
        <v>0</v>
      </c>
      <c r="J222" s="394" t="s">
        <v>103</v>
      </c>
      <c r="K222" s="162" t="str">
        <f t="shared" ca="1" si="57"/>
        <v>1.18.2.0.3.</v>
      </c>
      <c r="L222" s="395" t="s">
        <v>236</v>
      </c>
      <c r="M222" s="395" t="s">
        <v>610</v>
      </c>
      <c r="N222" s="397" t="s">
        <v>611</v>
      </c>
      <c r="O222" s="398" t="s">
        <v>316</v>
      </c>
      <c r="P222" s="399">
        <v>82.5</v>
      </c>
      <c r="Q222" s="228"/>
      <c r="R222" s="231" t="s">
        <v>7</v>
      </c>
      <c r="S222" s="121">
        <f t="shared" si="60"/>
        <v>0</v>
      </c>
      <c r="T222" s="98">
        <f t="shared" si="61"/>
        <v>0</v>
      </c>
      <c r="U222" s="13" t="str">
        <f t="shared" si="58"/>
        <v>SEM VALOR</v>
      </c>
      <c r="V222" s="4" t="str">
        <f ca="1">IF(OR($A222=0,$A222="S",$A222&gt;CFF!$A$9),"",MAX(V$12:OFFSET(V222,-1,0))+1)</f>
        <v/>
      </c>
      <c r="W222" s="9" t="str">
        <f t="shared" si="59"/>
        <v>SEE/MG-170009</v>
      </c>
      <c r="X222" s="4" t="e">
        <f t="shared" ca="1" si="62"/>
        <v>#REF!</v>
      </c>
      <c r="Y222" s="121">
        <v>22.630572000000001</v>
      </c>
      <c r="Z222" s="132">
        <f ca="1">ROUND(IF(ISNUMBER(R222),R222,IF(LEFT(R222,3)="BDI",HLOOKUP(R222,DADOS!$T$37:$X$38,2,FALSE),0)),15-11*$X$5)</f>
        <v>0.27639999999999998</v>
      </c>
      <c r="AA222" s="4"/>
    </row>
    <row r="223" spans="1:27" ht="25.5" x14ac:dyDescent="0.2">
      <c r="A223" t="str">
        <f t="shared" si="50"/>
        <v>S</v>
      </c>
      <c r="B223">
        <f t="shared" si="51"/>
        <v>0</v>
      </c>
      <c r="C223">
        <f t="shared" ca="1" si="52"/>
        <v>1</v>
      </c>
      <c r="D223">
        <f t="shared" ca="1" si="53"/>
        <v>18</v>
      </c>
      <c r="E223">
        <f t="shared" ca="1" si="54"/>
        <v>2</v>
      </c>
      <c r="F223">
        <f t="shared" ca="1" si="55"/>
        <v>0</v>
      </c>
      <c r="G223">
        <f t="shared" ca="1" si="56"/>
        <v>4</v>
      </c>
      <c r="H223">
        <f t="shared" ca="1" si="48"/>
        <v>0</v>
      </c>
      <c r="I223">
        <f t="shared" ca="1" si="49"/>
        <v>0</v>
      </c>
      <c r="J223" s="394" t="s">
        <v>103</v>
      </c>
      <c r="K223" s="162" t="str">
        <f t="shared" ca="1" si="57"/>
        <v>1.18.2.0.4.</v>
      </c>
      <c r="L223" s="395" t="s">
        <v>347</v>
      </c>
      <c r="M223" s="395" t="s">
        <v>621</v>
      </c>
      <c r="N223" s="397" t="s">
        <v>612</v>
      </c>
      <c r="O223" s="398" t="s">
        <v>260</v>
      </c>
      <c r="P223" s="399">
        <v>5.27</v>
      </c>
      <c r="Q223" s="228"/>
      <c r="R223" s="231" t="s">
        <v>7</v>
      </c>
      <c r="S223" s="121">
        <f t="shared" si="60"/>
        <v>0</v>
      </c>
      <c r="T223" s="98">
        <f t="shared" si="61"/>
        <v>0</v>
      </c>
      <c r="U223" s="13" t="str">
        <f t="shared" si="58"/>
        <v>SEM VALOR</v>
      </c>
      <c r="V223" s="4" t="str">
        <f ca="1">IF(OR($A223=0,$A223="S",$A223&gt;CFF!$A$9),"",MAX(V$12:OFFSET(V223,-1,0))+1)</f>
        <v/>
      </c>
      <c r="W223" s="9" t="str">
        <f t="shared" si="59"/>
        <v>SINAPI-91341</v>
      </c>
      <c r="X223" s="4" t="e">
        <f t="shared" ca="1" si="62"/>
        <v>#REF!</v>
      </c>
      <c r="Y223" s="121">
        <v>827.66881599999999</v>
      </c>
      <c r="Z223" s="132">
        <f ca="1">ROUND(IF(ISNUMBER(R223),R223,IF(LEFT(R223,3)="BDI",HLOOKUP(R223,DADOS!$T$37:$X$38,2,FALSE),0)),15-11*$X$5)</f>
        <v>0.27639999999999998</v>
      </c>
      <c r="AA223" s="4"/>
    </row>
    <row r="224" spans="1:27" ht="25.5" x14ac:dyDescent="0.2">
      <c r="A224" t="str">
        <f t="shared" si="50"/>
        <v>S</v>
      </c>
      <c r="B224">
        <f t="shared" si="51"/>
        <v>0</v>
      </c>
      <c r="C224">
        <f t="shared" ca="1" si="52"/>
        <v>1</v>
      </c>
      <c r="D224">
        <f t="shared" ca="1" si="53"/>
        <v>18</v>
      </c>
      <c r="E224">
        <f t="shared" ca="1" si="54"/>
        <v>2</v>
      </c>
      <c r="F224">
        <f t="shared" ca="1" si="55"/>
        <v>0</v>
      </c>
      <c r="G224">
        <f t="shared" ca="1" si="56"/>
        <v>5</v>
      </c>
      <c r="H224">
        <f t="shared" ca="1" si="48"/>
        <v>0</v>
      </c>
      <c r="I224">
        <f t="shared" ca="1" si="49"/>
        <v>0</v>
      </c>
      <c r="J224" s="394" t="s">
        <v>103</v>
      </c>
      <c r="K224" s="162" t="str">
        <f t="shared" ca="1" si="57"/>
        <v>1.18.2.0.5.</v>
      </c>
      <c r="L224" s="395" t="s">
        <v>580</v>
      </c>
      <c r="M224" s="395" t="s">
        <v>622</v>
      </c>
      <c r="N224" s="397" t="s">
        <v>613</v>
      </c>
      <c r="O224" s="398" t="s">
        <v>316</v>
      </c>
      <c r="P224" s="399">
        <v>10.33</v>
      </c>
      <c r="Q224" s="228"/>
      <c r="R224" s="231" t="s">
        <v>7</v>
      </c>
      <c r="S224" s="121">
        <f t="shared" si="60"/>
        <v>0</v>
      </c>
      <c r="T224" s="98">
        <f t="shared" si="61"/>
        <v>0</v>
      </c>
      <c r="U224" s="13" t="str">
        <f t="shared" si="58"/>
        <v>SEM VALOR</v>
      </c>
      <c r="V224" s="4" t="str">
        <f ca="1">IF(OR($A224=0,$A224="S",$A224&gt;CFF!$A$9),"",MAX(V$12:OFFSET(V224,-1,0))+1)</f>
        <v/>
      </c>
      <c r="W224" s="9" t="str">
        <f t="shared" si="59"/>
        <v>SEINFRA-C3659</v>
      </c>
      <c r="X224" s="4" t="e">
        <f t="shared" ca="1" si="62"/>
        <v>#REF!</v>
      </c>
      <c r="Y224" s="121">
        <v>490.82685600000002</v>
      </c>
      <c r="Z224" s="132">
        <f ca="1">ROUND(IF(ISNUMBER(R224),R224,IF(LEFT(R224,3)="BDI",HLOOKUP(R224,DADOS!$T$37:$X$38,2,FALSE),0)),15-11*$X$5)</f>
        <v>0.27639999999999998</v>
      </c>
      <c r="AA224" s="4"/>
    </row>
    <row r="225" spans="1:27" x14ac:dyDescent="0.2">
      <c r="A225">
        <f t="shared" si="50"/>
        <v>2</v>
      </c>
      <c r="B225">
        <f t="shared" ca="1" si="51"/>
        <v>2</v>
      </c>
      <c r="C225">
        <f t="shared" ca="1" si="52"/>
        <v>1</v>
      </c>
      <c r="D225">
        <f t="shared" ca="1" si="53"/>
        <v>19</v>
      </c>
      <c r="E225">
        <f t="shared" ca="1" si="54"/>
        <v>0</v>
      </c>
      <c r="F225">
        <f t="shared" ca="1" si="55"/>
        <v>0</v>
      </c>
      <c r="G225">
        <f t="shared" ca="1" si="56"/>
        <v>0</v>
      </c>
      <c r="H225">
        <f t="shared" ca="1" si="48"/>
        <v>2</v>
      </c>
      <c r="I225" t="e">
        <f t="shared" ca="1" si="49"/>
        <v>#N/A</v>
      </c>
      <c r="J225" s="394" t="s">
        <v>100</v>
      </c>
      <c r="K225" s="162" t="str">
        <f t="shared" ca="1" si="57"/>
        <v>1.19.</v>
      </c>
      <c r="L225" s="395"/>
      <c r="M225" s="395" t="s">
        <v>614</v>
      </c>
      <c r="N225" s="397" t="s">
        <v>615</v>
      </c>
      <c r="O225" s="398"/>
      <c r="P225" s="399"/>
      <c r="Q225" s="228"/>
      <c r="R225" s="231" t="s">
        <v>7</v>
      </c>
      <c r="S225" s="121">
        <f t="shared" si="60"/>
        <v>0</v>
      </c>
      <c r="T225" s="98">
        <f t="shared" ca="1" si="61"/>
        <v>0</v>
      </c>
      <c r="U225" s="13" t="str">
        <f t="shared" ca="1" si="58"/>
        <v>SEM VALOR</v>
      </c>
      <c r="V225" s="4">
        <f ca="1">IF(OR($A225=0,$A225="S",$A225&gt;CFF!$A$9),"",MAX(V$12:OFFSET(V225,-1,0))+1)</f>
        <v>20</v>
      </c>
      <c r="W225" s="9" t="b">
        <f t="shared" si="59"/>
        <v>0</v>
      </c>
      <c r="X225" s="4" t="str">
        <f t="shared" ca="1" si="62"/>
        <v>X</v>
      </c>
      <c r="Y225" s="121">
        <v>0</v>
      </c>
      <c r="Z225" s="132">
        <f ca="1">ROUND(IF(ISNUMBER(R225),R225,IF(LEFT(R225,3)="BDI",HLOOKUP(R225,DADOS!$T$37:$X$38,2,FALSE),0)),15-11*$X$5)</f>
        <v>0.27639999999999998</v>
      </c>
      <c r="AA225" s="4"/>
    </row>
    <row r="226" spans="1:27" x14ac:dyDescent="0.2">
      <c r="A226" t="str">
        <f t="shared" si="50"/>
        <v>S</v>
      </c>
      <c r="B226">
        <f t="shared" si="51"/>
        <v>0</v>
      </c>
      <c r="C226">
        <f t="shared" ca="1" si="52"/>
        <v>1</v>
      </c>
      <c r="D226">
        <f t="shared" ca="1" si="53"/>
        <v>19</v>
      </c>
      <c r="E226">
        <f t="shared" ca="1" si="54"/>
        <v>0</v>
      </c>
      <c r="F226">
        <f t="shared" ca="1" si="55"/>
        <v>0</v>
      </c>
      <c r="G226">
        <f t="shared" ca="1" si="56"/>
        <v>1</v>
      </c>
      <c r="H226">
        <f t="shared" ca="1" si="48"/>
        <v>0</v>
      </c>
      <c r="I226">
        <f t="shared" ca="1" si="49"/>
        <v>0</v>
      </c>
      <c r="J226" s="394" t="s">
        <v>103</v>
      </c>
      <c r="K226" s="162" t="str">
        <f t="shared" ca="1" si="57"/>
        <v>1.19.0.0.1.</v>
      </c>
      <c r="L226" s="395" t="s">
        <v>236</v>
      </c>
      <c r="M226" s="395" t="s">
        <v>616</v>
      </c>
      <c r="N226" s="397" t="s">
        <v>617</v>
      </c>
      <c r="O226" s="398" t="s">
        <v>260</v>
      </c>
      <c r="P226" s="399">
        <v>1129.6400000000001</v>
      </c>
      <c r="Q226" s="228"/>
      <c r="R226" s="231" t="s">
        <v>7</v>
      </c>
      <c r="S226" s="121">
        <f t="shared" si="60"/>
        <v>0</v>
      </c>
      <c r="T226" s="98">
        <f t="shared" si="61"/>
        <v>0</v>
      </c>
      <c r="U226" s="13" t="str">
        <f t="shared" si="58"/>
        <v>SEM VALOR</v>
      </c>
      <c r="V226" s="4" t="str">
        <f ca="1">IF(OR($A226=0,$A226="S",$A226&gt;CFF!$A$9),"",MAX(V$12:OFFSET(V226,-1,0))+1)</f>
        <v/>
      </c>
      <c r="W226" s="9" t="str">
        <f t="shared" si="59"/>
        <v>SEE/MG-180001</v>
      </c>
      <c r="X226" s="4" t="e">
        <f t="shared" ca="1" si="62"/>
        <v>#REF!</v>
      </c>
      <c r="Y226" s="121">
        <v>6.7904479999999996</v>
      </c>
      <c r="Z226" s="132">
        <f ca="1">ROUND(IF(ISNUMBER(R226),R226,IF(LEFT(R226,3)="BDI",HLOOKUP(R226,DADOS!$T$37:$X$38,2,FALSE),0)),15-11*$X$5)</f>
        <v>0.27639999999999998</v>
      </c>
      <c r="AA226" s="4"/>
    </row>
    <row r="227" spans="1:27" x14ac:dyDescent="0.2">
      <c r="A227">
        <v>-1</v>
      </c>
      <c r="C227">
        <v>0</v>
      </c>
      <c r="D227">
        <v>0</v>
      </c>
      <c r="E227">
        <v>0</v>
      </c>
      <c r="F227">
        <v>0</v>
      </c>
      <c r="G227">
        <v>0</v>
      </c>
      <c r="J227" s="83"/>
      <c r="K227" s="83"/>
      <c r="L227" s="83"/>
      <c r="M227" s="83"/>
      <c r="N227" s="83"/>
      <c r="O227" s="83"/>
      <c r="P227" s="83"/>
      <c r="Q227" s="83"/>
      <c r="R227" s="83"/>
      <c r="S227" s="83"/>
      <c r="T227" s="83"/>
      <c r="U227" s="4"/>
      <c r="V227" s="4"/>
      <c r="W227" s="4"/>
      <c r="X227" s="4"/>
      <c r="Y227" s="4"/>
      <c r="Z227" s="4"/>
      <c r="AA227" s="4"/>
    </row>
    <row r="228" spans="1:27" ht="14.25" x14ac:dyDescent="0.2">
      <c r="A228" s="4"/>
      <c r="B228" s="4"/>
      <c r="C228" s="4"/>
      <c r="D228" s="4"/>
      <c r="E228" s="4"/>
      <c r="F228" s="4"/>
      <c r="G228" s="4"/>
      <c r="H228" s="4"/>
      <c r="I228" s="4"/>
      <c r="J228" s="4"/>
      <c r="K228" s="84" t="s">
        <v>62</v>
      </c>
      <c r="L228" s="4"/>
      <c r="M228" s="366" t="s">
        <v>141</v>
      </c>
      <c r="N228" s="367"/>
      <c r="O228" s="367"/>
      <c r="P228" s="367"/>
      <c r="Q228" s="367"/>
      <c r="R228" s="367"/>
      <c r="S228" s="367"/>
      <c r="T228" s="368"/>
      <c r="U228" s="4"/>
      <c r="V228" s="4"/>
      <c r="W228" s="4"/>
      <c r="X228" s="4"/>
      <c r="Y228" s="4"/>
      <c r="Z228" s="4"/>
      <c r="AA228" s="4"/>
    </row>
    <row r="229" spans="1:27"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row>
    <row r="230" spans="1:27" ht="14.25" x14ac:dyDescent="0.2">
      <c r="A230" s="4"/>
      <c r="B230" s="4"/>
      <c r="C230" s="4"/>
      <c r="D230" s="4"/>
      <c r="E230" s="4"/>
      <c r="F230" s="4"/>
      <c r="G230" s="4"/>
      <c r="H230" s="4"/>
      <c r="I230" s="4"/>
      <c r="J230" s="4"/>
      <c r="K230" s="90" t="s">
        <v>21</v>
      </c>
      <c r="L230" s="20"/>
      <c r="M230" s="20"/>
      <c r="N230" s="20"/>
      <c r="O230" s="20"/>
      <c r="P230" s="20"/>
      <c r="Q230" s="20"/>
      <c r="R230" s="20"/>
      <c r="S230" s="20"/>
      <c r="T230" s="89"/>
      <c r="U230" s="4"/>
      <c r="V230" s="4"/>
      <c r="W230" s="4"/>
      <c r="X230" s="4"/>
      <c r="Y230" s="4"/>
      <c r="Z230" s="4"/>
      <c r="AA230" s="4"/>
    </row>
    <row r="231" spans="1:27" ht="12.75" customHeight="1" x14ac:dyDescent="0.2">
      <c r="A231" s="4"/>
      <c r="B231" s="4"/>
      <c r="C231" s="4"/>
      <c r="D231" s="4"/>
      <c r="E231" s="4"/>
      <c r="F231" s="4"/>
      <c r="G231" s="4"/>
      <c r="H231" s="4"/>
      <c r="I231" s="4"/>
      <c r="J231" s="4"/>
      <c r="K231" s="360"/>
      <c r="L231" s="361"/>
      <c r="M231" s="361"/>
      <c r="N231" s="361"/>
      <c r="O231" s="361"/>
      <c r="P231" s="361"/>
      <c r="Q231" s="361"/>
      <c r="R231" s="361"/>
      <c r="S231" s="361"/>
      <c r="T231" s="362"/>
      <c r="U231" s="4"/>
      <c r="V231" s="4"/>
      <c r="W231" s="4"/>
      <c r="X231" s="4"/>
      <c r="Y231" s="4"/>
      <c r="Z231" s="4"/>
      <c r="AA231" s="4"/>
    </row>
    <row r="232" spans="1:27" x14ac:dyDescent="0.2">
      <c r="A232" s="4"/>
      <c r="B232" s="4"/>
      <c r="C232" s="4"/>
      <c r="D232" s="4"/>
      <c r="E232" s="4"/>
      <c r="F232" s="4"/>
      <c r="G232" s="4"/>
      <c r="H232" s="4"/>
      <c r="I232" s="4"/>
      <c r="J232" s="4"/>
      <c r="K232" s="360"/>
      <c r="L232" s="361"/>
      <c r="M232" s="361"/>
      <c r="N232" s="361"/>
      <c r="O232" s="361"/>
      <c r="P232" s="361"/>
      <c r="Q232" s="361"/>
      <c r="R232" s="361"/>
      <c r="S232" s="361"/>
      <c r="T232" s="362"/>
      <c r="U232" s="4"/>
      <c r="V232" s="4"/>
      <c r="W232" s="4"/>
      <c r="X232" s="4"/>
      <c r="Y232" s="4"/>
      <c r="Z232" s="4"/>
      <c r="AA232" s="4"/>
    </row>
    <row r="233" spans="1:27" x14ac:dyDescent="0.2">
      <c r="A233" s="4"/>
      <c r="B233" s="4"/>
      <c r="C233" s="4"/>
      <c r="D233" s="4"/>
      <c r="E233" s="4"/>
      <c r="F233" s="4"/>
      <c r="G233" s="4"/>
      <c r="H233" s="4"/>
      <c r="I233" s="4"/>
      <c r="J233" s="4"/>
      <c r="K233" s="363"/>
      <c r="L233" s="364"/>
      <c r="M233" s="364"/>
      <c r="N233" s="364"/>
      <c r="O233" s="364"/>
      <c r="P233" s="364"/>
      <c r="Q233" s="364"/>
      <c r="R233" s="364"/>
      <c r="S233" s="364"/>
      <c r="T233" s="365"/>
      <c r="U233" s="4"/>
      <c r="V233" s="4"/>
      <c r="W233" s="4"/>
      <c r="X233" s="4"/>
      <c r="Y233" s="4"/>
      <c r="Z233" s="4"/>
      <c r="AA233" s="4"/>
    </row>
    <row r="234" spans="1:27" ht="14.25" x14ac:dyDescent="0.2">
      <c r="A234" s="4"/>
      <c r="B234" s="4"/>
      <c r="C234" s="4"/>
      <c r="D234" s="4"/>
      <c r="E234" s="4"/>
      <c r="F234" s="4"/>
      <c r="G234" s="4"/>
      <c r="H234" s="4"/>
      <c r="I234" s="4"/>
      <c r="J234" s="4"/>
      <c r="K234" s="213"/>
      <c r="L234" s="213"/>
      <c r="M234" s="213"/>
      <c r="N234" s="213"/>
      <c r="O234" s="213"/>
      <c r="P234" s="213"/>
      <c r="Q234" s="213"/>
      <c r="R234" s="213"/>
      <c r="S234" s="213"/>
      <c r="T234" s="213"/>
      <c r="U234" s="4"/>
      <c r="V234" s="4"/>
      <c r="W234" s="4"/>
      <c r="X234" s="4"/>
      <c r="Y234" s="4"/>
      <c r="Z234" s="4"/>
      <c r="AA234" s="4"/>
    </row>
    <row r="235" spans="1:27" ht="15" x14ac:dyDescent="0.25">
      <c r="A235" s="4"/>
      <c r="B235" s="4"/>
      <c r="C235" s="4"/>
      <c r="D235" s="4"/>
      <c r="E235" s="4"/>
      <c r="F235" s="4"/>
      <c r="G235" s="4"/>
      <c r="H235" s="4"/>
      <c r="I235" s="4"/>
      <c r="J235" s="4"/>
      <c r="K235" s="357" t="str">
        <f>IF(AND($X$3=FALSE,$X$4=FALSE,$X$5=FALSE,$X$6=FALSE,$X$7=FALSE),"Não foi considerado arredondamento nos valores da planilha.",CONCATENATE("Foi considerado arredondamento de duas casas decimais para ",IF($X$3=TRUE,"Quantidade; ",""),IF($X$4=TRUE,"Custo Unitário; ",""),IF($X$5=TRUE,"BDI; ",""),IF($X$6=TRUE,"Preço Unitário; ",""),IF($X$7=TRUE,"Preço Total.","")))</f>
        <v xml:space="preserve">Foi considerado arredondamento de duas casas decimais para Quantidade; Custo Unitário; BDI; </v>
      </c>
      <c r="L235" s="358"/>
      <c r="M235" s="358"/>
      <c r="N235" s="358"/>
      <c r="O235" s="358"/>
      <c r="P235" s="358"/>
      <c r="Q235" s="358"/>
      <c r="R235" s="358"/>
      <c r="S235" s="358"/>
      <c r="T235" s="359"/>
      <c r="U235" s="4"/>
      <c r="V235" s="4"/>
      <c r="W235" s="4"/>
      <c r="X235" s="4"/>
      <c r="Y235" s="4"/>
      <c r="Z235" s="4"/>
      <c r="AA235" s="4"/>
    </row>
    <row r="236" spans="1:27"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row>
    <row r="237" spans="1:27" ht="21" customHeight="1" x14ac:dyDescent="0.2">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row>
    <row r="238" spans="1:27" x14ac:dyDescent="0.2">
      <c r="A238" s="4"/>
      <c r="B238" s="4"/>
      <c r="C238" s="4"/>
      <c r="D238" s="4"/>
      <c r="E238" s="4"/>
      <c r="F238" s="4"/>
      <c r="G238" s="4"/>
      <c r="H238" s="4"/>
      <c r="I238" s="4"/>
      <c r="J238" s="4"/>
      <c r="K238" s="370" t="str">
        <f>Import.Município</f>
        <v>Presidente Olegário / MG</v>
      </c>
      <c r="L238" s="370"/>
      <c r="M238" s="370"/>
      <c r="N238" s="4"/>
      <c r="O238" s="4"/>
      <c r="P238" s="4"/>
      <c r="Q238" s="4"/>
      <c r="R238" s="4"/>
      <c r="S238" s="4"/>
      <c r="T238" s="4"/>
      <c r="U238" s="4"/>
      <c r="V238" s="4"/>
      <c r="W238" s="4"/>
      <c r="X238" s="4"/>
      <c r="Y238" s="4"/>
      <c r="Z238" s="4"/>
      <c r="AA238" s="4"/>
    </row>
    <row r="239" spans="1:27" x14ac:dyDescent="0.2">
      <c r="A239" s="4"/>
      <c r="B239" s="4"/>
      <c r="C239" s="4"/>
      <c r="D239" s="4"/>
      <c r="E239" s="4"/>
      <c r="F239" s="4"/>
      <c r="G239" s="4"/>
      <c r="H239" s="4"/>
      <c r="I239" s="4"/>
      <c r="J239" s="4"/>
      <c r="K239" s="112" t="s">
        <v>120</v>
      </c>
      <c r="L239" s="4"/>
      <c r="M239" s="4"/>
      <c r="N239" s="4"/>
      <c r="O239" s="4"/>
      <c r="P239" s="4"/>
      <c r="Q239" s="4"/>
      <c r="R239" s="4"/>
      <c r="S239" s="4"/>
      <c r="T239" s="4"/>
      <c r="U239" s="4"/>
      <c r="V239" s="4"/>
      <c r="W239" s="4"/>
      <c r="X239" s="4"/>
      <c r="Y239" s="4"/>
      <c r="Z239" s="4"/>
      <c r="AA239" s="4"/>
    </row>
    <row r="240" spans="1:27" x14ac:dyDescent="0.2">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row>
    <row r="241" spans="1:27" x14ac:dyDescent="0.2">
      <c r="A241" s="4"/>
      <c r="B241" s="4"/>
      <c r="C241" s="4"/>
      <c r="D241" s="4"/>
      <c r="E241" s="4"/>
      <c r="F241" s="4"/>
      <c r="G241" s="4"/>
      <c r="H241" s="4"/>
      <c r="I241" s="4"/>
      <c r="J241" s="4"/>
      <c r="K241" s="369">
        <f ca="1">TODAY()</f>
        <v>44770</v>
      </c>
      <c r="L241" s="369"/>
      <c r="M241" s="369"/>
      <c r="N241" s="4"/>
      <c r="O241" s="4"/>
      <c r="P241" s="4"/>
      <c r="Q241" s="4"/>
      <c r="R241" s="4"/>
      <c r="S241" s="4"/>
      <c r="T241" s="4"/>
      <c r="U241" s="4"/>
      <c r="V241" s="4"/>
      <c r="W241" s="4"/>
      <c r="X241" s="4"/>
      <c r="Y241" s="4"/>
      <c r="Z241" s="4"/>
      <c r="AA241" s="4"/>
    </row>
    <row r="242" spans="1:27" x14ac:dyDescent="0.2">
      <c r="A242" s="4"/>
      <c r="B242" s="4"/>
      <c r="C242" s="4"/>
      <c r="D242" s="4"/>
      <c r="E242" s="4"/>
      <c r="F242" s="4"/>
      <c r="G242" s="4"/>
      <c r="H242" s="4"/>
      <c r="I242" s="4"/>
      <c r="J242" s="4"/>
      <c r="K242" s="141" t="s">
        <v>121</v>
      </c>
      <c r="L242" s="83"/>
      <c r="M242" s="83"/>
      <c r="N242" s="4"/>
      <c r="O242" s="4"/>
      <c r="P242" s="4"/>
      <c r="Q242" s="4"/>
      <c r="R242" s="4"/>
      <c r="S242" s="4"/>
      <c r="T242" s="4"/>
      <c r="U242" s="4"/>
      <c r="V242" s="4"/>
      <c r="W242" s="4"/>
      <c r="X242" s="4"/>
      <c r="Y242" s="4"/>
      <c r="Z242" s="4"/>
      <c r="AA242" s="4"/>
    </row>
  </sheetData>
  <sheetProtection algorithmName="SHA-512" hashValue="tqkFLgNvDlvUqILDcJjo9ujg3tQn6VuuqFZ97/lm+woUCJnhsSYqkRDKKc/ej+9gcM/m5XcFN+CRAoifd0Aofg==" saltValue="y/8hQcHr0u21lPKGtI3RKw==" spinCount="100000" sheet="1" objects="1" scenarios="1"/>
  <mergeCells count="6">
    <mergeCell ref="W2:X2"/>
    <mergeCell ref="K235:T235"/>
    <mergeCell ref="K231:T233"/>
    <mergeCell ref="M228:T228"/>
    <mergeCell ref="K241:M241"/>
    <mergeCell ref="K238:M238"/>
  </mergeCells>
  <phoneticPr fontId="25" type="noConversion"/>
  <conditionalFormatting sqref="O12:R12 L12:M12">
    <cfRule type="expression" dxfId="315" priority="1892" stopIfTrue="1">
      <formula>$J12=$C$2</formula>
    </cfRule>
    <cfRule type="expression" dxfId="314" priority="1893" stopIfTrue="1">
      <formula>UPPER(LEFT($J12,5))="NÍVEL"</formula>
    </cfRule>
    <cfRule type="expression" dxfId="313" priority="1894" stopIfTrue="1">
      <formula>$J12=$C$8</formula>
    </cfRule>
  </conditionalFormatting>
  <conditionalFormatting sqref="Y12:Z12 S12:T12 K12">
    <cfRule type="expression" dxfId="312" priority="1895" stopIfTrue="1">
      <formula>$J12=$C$2</formula>
    </cfRule>
    <cfRule type="expression" dxfId="311" priority="1896" stopIfTrue="1">
      <formula>UPPER(LEFT($J12,5))="NÍVEL"</formula>
    </cfRule>
  </conditionalFormatting>
  <conditionalFormatting sqref="K11 K13 K46:K85 K87:K226">
    <cfRule type="expression" dxfId="310" priority="1908" stopIfTrue="1">
      <formula>$J11=$C$2</formula>
    </cfRule>
    <cfRule type="expression" dxfId="309" priority="1909" stopIfTrue="1">
      <formula>AND($J11&lt;&gt;"",$J11&lt;&gt;"Serviço")</formula>
    </cfRule>
    <cfRule type="expression" dxfId="308" priority="1910" stopIfTrue="1">
      <formula>$J11=""</formula>
    </cfRule>
  </conditionalFormatting>
  <conditionalFormatting sqref="P11 P13 P46:P85 P87:P153 P155:P226">
    <cfRule type="expression" dxfId="307" priority="235" stopIfTrue="1">
      <formula>$J11=$C$2</formula>
    </cfRule>
    <cfRule type="expression" dxfId="306" priority="1914" stopIfTrue="1">
      <formula>AND($J11&lt;&gt;"Serviço")</formula>
    </cfRule>
    <cfRule type="expression" dxfId="305" priority="1915" stopIfTrue="1">
      <formula>CELL("proteger",P11)</formula>
    </cfRule>
  </conditionalFormatting>
  <conditionalFormatting sqref="Q11:R11 Q13:R13 Q46:R85 Q87:R153 R154 Q155:R226">
    <cfRule type="expression" dxfId="304" priority="1916" stopIfTrue="1">
      <formula>$J11=$C$2</formula>
    </cfRule>
    <cfRule type="expression" dxfId="303" priority="1917" stopIfTrue="1">
      <formula>$J11&lt;&gt;"Serviço"</formula>
    </cfRule>
    <cfRule type="expression" dxfId="302" priority="1918" stopIfTrue="1">
      <formula>CELL("proteger",Q11)</formula>
    </cfRule>
  </conditionalFormatting>
  <conditionalFormatting sqref="S11:T11 Y11:Z11 S13:T13 Y13:Z13 S46:T85 Y46:Z85 Y87:Z226 S87:T226">
    <cfRule type="expression" dxfId="301" priority="1919" stopIfTrue="1">
      <formula>$J11=$C$2</formula>
    </cfRule>
    <cfRule type="expression" dxfId="300" priority="1920" stopIfTrue="1">
      <formula>$J11&lt;&gt;"Serviço"</formula>
    </cfRule>
  </conditionalFormatting>
  <conditionalFormatting sqref="L11:M11 L13:M13 L58:M58 L61:M62 M59:M60 M63:M64 L65:M85 L87:M226">
    <cfRule type="expression" dxfId="299" priority="1940" stopIfTrue="1">
      <formula>$J11=$C$2</formula>
    </cfRule>
    <cfRule type="expression" dxfId="298" priority="1941" stopIfTrue="1">
      <formula>$J11&lt;&gt;"Serviço"</formula>
    </cfRule>
    <cfRule type="expression" dxfId="297" priority="1942" stopIfTrue="1">
      <formula>OR(CELL("proteger",L11),$J11="",TipoOrçamento="Licitado")</formula>
    </cfRule>
  </conditionalFormatting>
  <conditionalFormatting sqref="K228:T228">
    <cfRule type="expression" dxfId="296" priority="1921" stopIfTrue="1">
      <formula>OR(Tipo.Orçamento="LICITADO",Tipo.Orçamento="REPROGRAMADOAC")</formula>
    </cfRule>
    <cfRule type="expression" dxfId="295" priority="1922" stopIfTrue="1">
      <formula>$M$228=""</formula>
    </cfRule>
  </conditionalFormatting>
  <conditionalFormatting sqref="J11 J13 J46:J85 J87:J226">
    <cfRule type="expression" dxfId="294" priority="1949" stopIfTrue="1">
      <formula>TipoOrçamento="Licitado"</formula>
    </cfRule>
  </conditionalFormatting>
  <conditionalFormatting sqref="O11 O13 O46:O85 O87:O153 O155:O226">
    <cfRule type="expression" dxfId="293" priority="255" stopIfTrue="1">
      <formula>$J11=$C$2</formula>
    </cfRule>
    <cfRule type="expression" dxfId="292" priority="256" stopIfTrue="1">
      <formula>AND($J11&lt;&gt;"Serviço")</formula>
    </cfRule>
    <cfRule type="expression" dxfId="291" priority="257" stopIfTrue="1">
      <formula>CELL("proteger",O11)</formula>
    </cfRule>
  </conditionalFormatting>
  <conditionalFormatting sqref="N11 N46:N85 N87:N226">
    <cfRule type="expression" dxfId="290" priority="258" stopIfTrue="1">
      <formula>$J11=$C$2</formula>
    </cfRule>
    <cfRule type="expression" dxfId="289" priority="259" stopIfTrue="1">
      <formula>$J11&lt;&gt;"Serviço"</formula>
    </cfRule>
    <cfRule type="expression" dxfId="288" priority="260" stopIfTrue="1">
      <formula>CELL("proteger",N11)</formula>
    </cfRule>
  </conditionalFormatting>
  <conditionalFormatting sqref="K17:K33">
    <cfRule type="expression" dxfId="287" priority="134" stopIfTrue="1">
      <formula>$J17=$C$2</formula>
    </cfRule>
    <cfRule type="expression" dxfId="286" priority="135" stopIfTrue="1">
      <formula>AND($J17&lt;&gt;"",$J17&lt;&gt;"Serviço")</formula>
    </cfRule>
    <cfRule type="expression" dxfId="285" priority="136" stopIfTrue="1">
      <formula>$J17=""</formula>
    </cfRule>
  </conditionalFormatting>
  <conditionalFormatting sqref="P17:P33">
    <cfRule type="expression" dxfId="284" priority="127" stopIfTrue="1">
      <formula>$J17=$C$2</formula>
    </cfRule>
    <cfRule type="expression" dxfId="283" priority="137" stopIfTrue="1">
      <formula>AND($J17&lt;&gt;"Serviço")</formula>
    </cfRule>
    <cfRule type="expression" dxfId="282" priority="138" stopIfTrue="1">
      <formula>CELL("proteger",P17)</formula>
    </cfRule>
  </conditionalFormatting>
  <conditionalFormatting sqref="Q17:R33">
    <cfRule type="expression" dxfId="281" priority="139" stopIfTrue="1">
      <formula>$J17=$C$2</formula>
    </cfRule>
    <cfRule type="expression" dxfId="280" priority="140" stopIfTrue="1">
      <formula>$J17&lt;&gt;"Serviço"</formula>
    </cfRule>
    <cfRule type="expression" dxfId="279" priority="141" stopIfTrue="1">
      <formula>CELL("proteger",Q17)</formula>
    </cfRule>
  </conditionalFormatting>
  <conditionalFormatting sqref="S17:T33 Y17:Z33">
    <cfRule type="expression" dxfId="278" priority="142" stopIfTrue="1">
      <formula>$J17=$C$2</formula>
    </cfRule>
    <cfRule type="expression" dxfId="277" priority="143" stopIfTrue="1">
      <formula>$J17&lt;&gt;"Serviço"</formula>
    </cfRule>
  </conditionalFormatting>
  <conditionalFormatting sqref="L17:M32 M33">
    <cfRule type="expression" dxfId="276" priority="144" stopIfTrue="1">
      <formula>$J17=$C$2</formula>
    </cfRule>
    <cfRule type="expression" dxfId="275" priority="145" stopIfTrue="1">
      <formula>$J17&lt;&gt;"Serviço"</formula>
    </cfRule>
    <cfRule type="expression" dxfId="274" priority="146" stopIfTrue="1">
      <formula>OR(CELL("proteger",L17),$J17="",TipoOrçamento="Licitado")</formula>
    </cfRule>
  </conditionalFormatting>
  <conditionalFormatting sqref="J17:J33">
    <cfRule type="expression" dxfId="273" priority="147" stopIfTrue="1">
      <formula>TipoOrçamento="Licitado"</formula>
    </cfRule>
  </conditionalFormatting>
  <conditionalFormatting sqref="O17:O33">
    <cfRule type="expression" dxfId="272" priority="128" stopIfTrue="1">
      <formula>$J17=$C$2</formula>
    </cfRule>
    <cfRule type="expression" dxfId="271" priority="129" stopIfTrue="1">
      <formula>AND($J17&lt;&gt;"Serviço")</formula>
    </cfRule>
    <cfRule type="expression" dxfId="270" priority="130" stopIfTrue="1">
      <formula>CELL("proteger",O17)</formula>
    </cfRule>
  </conditionalFormatting>
  <conditionalFormatting sqref="N17:N33">
    <cfRule type="expression" dxfId="269" priority="131" stopIfTrue="1">
      <formula>$J17=$C$2</formula>
    </cfRule>
    <cfRule type="expression" dxfId="268" priority="132" stopIfTrue="1">
      <formula>$J17&lt;&gt;"Serviço"</formula>
    </cfRule>
    <cfRule type="expression" dxfId="267" priority="133" stopIfTrue="1">
      <formula>CELL("proteger",N17)</formula>
    </cfRule>
  </conditionalFormatting>
  <conditionalFormatting sqref="N13">
    <cfRule type="expression" dxfId="266" priority="124" stopIfTrue="1">
      <formula>$J13=$C$2</formula>
    </cfRule>
    <cfRule type="expression" dxfId="265" priority="125" stopIfTrue="1">
      <formula>$J13&lt;&gt;"Serviço"</formula>
    </cfRule>
    <cfRule type="expression" dxfId="264" priority="126" stopIfTrue="1">
      <formula>CELL("proteger",N13)</formula>
    </cfRule>
  </conditionalFormatting>
  <conditionalFormatting sqref="K34:K45">
    <cfRule type="expression" dxfId="263" priority="110" stopIfTrue="1">
      <formula>$J34=$C$2</formula>
    </cfRule>
    <cfRule type="expression" dxfId="262" priority="111" stopIfTrue="1">
      <formula>AND($J34&lt;&gt;"",$J34&lt;&gt;"Serviço")</formula>
    </cfRule>
    <cfRule type="expression" dxfId="261" priority="112" stopIfTrue="1">
      <formula>$J34=""</formula>
    </cfRule>
  </conditionalFormatting>
  <conditionalFormatting sqref="P34:P45">
    <cfRule type="expression" dxfId="260" priority="103" stopIfTrue="1">
      <formula>$J34=$C$2</formula>
    </cfRule>
    <cfRule type="expression" dxfId="259" priority="113" stopIfTrue="1">
      <formula>AND($J34&lt;&gt;"Serviço")</formula>
    </cfRule>
    <cfRule type="expression" dxfId="258" priority="114" stopIfTrue="1">
      <formula>CELL("proteger",P34)</formula>
    </cfRule>
  </conditionalFormatting>
  <conditionalFormatting sqref="Q34:R45">
    <cfRule type="expression" dxfId="257" priority="115" stopIfTrue="1">
      <formula>$J34=$C$2</formula>
    </cfRule>
    <cfRule type="expression" dxfId="256" priority="116" stopIfTrue="1">
      <formula>$J34&lt;&gt;"Serviço"</formula>
    </cfRule>
    <cfRule type="expression" dxfId="255" priority="117" stopIfTrue="1">
      <formula>CELL("proteger",Q34)</formula>
    </cfRule>
  </conditionalFormatting>
  <conditionalFormatting sqref="S34:T45 Y34:Z45">
    <cfRule type="expression" dxfId="254" priority="118" stopIfTrue="1">
      <formula>$J34=$C$2</formula>
    </cfRule>
    <cfRule type="expression" dxfId="253" priority="119" stopIfTrue="1">
      <formula>$J34&lt;&gt;"Serviço"</formula>
    </cfRule>
  </conditionalFormatting>
  <conditionalFormatting sqref="L36:M36 M34:M35 L40:M40 M37:M39 L45:M45 M41:M44">
    <cfRule type="expression" dxfId="252" priority="120" stopIfTrue="1">
      <formula>$J34=$C$2</formula>
    </cfRule>
    <cfRule type="expression" dxfId="251" priority="121" stopIfTrue="1">
      <formula>$J34&lt;&gt;"Serviço"</formula>
    </cfRule>
    <cfRule type="expression" dxfId="250" priority="122" stopIfTrue="1">
      <formula>OR(CELL("proteger",L34),$J34="",TipoOrçamento="Licitado")</formula>
    </cfRule>
  </conditionalFormatting>
  <conditionalFormatting sqref="J34:J45">
    <cfRule type="expression" dxfId="249" priority="123" stopIfTrue="1">
      <formula>TipoOrçamento="Licitado"</formula>
    </cfRule>
  </conditionalFormatting>
  <conditionalFormatting sqref="O34:O45">
    <cfRule type="expression" dxfId="248" priority="104" stopIfTrue="1">
      <formula>$J34=$C$2</formula>
    </cfRule>
    <cfRule type="expression" dxfId="247" priority="105" stopIfTrue="1">
      <formula>AND($J34&lt;&gt;"Serviço")</formula>
    </cfRule>
    <cfRule type="expression" dxfId="246" priority="106" stopIfTrue="1">
      <formula>CELL("proteger",O34)</formula>
    </cfRule>
  </conditionalFormatting>
  <conditionalFormatting sqref="N34:N45">
    <cfRule type="expression" dxfId="245" priority="107" stopIfTrue="1">
      <formula>$J34=$C$2</formula>
    </cfRule>
    <cfRule type="expression" dxfId="244" priority="108" stopIfTrue="1">
      <formula>$J34&lt;&gt;"Serviço"</formula>
    </cfRule>
    <cfRule type="expression" dxfId="243" priority="109" stopIfTrue="1">
      <formula>CELL("proteger",N34)</formula>
    </cfRule>
  </conditionalFormatting>
  <conditionalFormatting sqref="L46:M46 L50:M50 M47:M49 L54:M54 M51:M53 L56:M56 M55 M57">
    <cfRule type="expression" dxfId="242" priority="99" stopIfTrue="1">
      <formula>$J46=$C$2</formula>
    </cfRule>
    <cfRule type="expression" dxfId="241" priority="100" stopIfTrue="1">
      <formula>$J46&lt;&gt;"Serviço"</formula>
    </cfRule>
    <cfRule type="expression" dxfId="240" priority="101" stopIfTrue="1">
      <formula>OR(CELL("proteger",L46),$J46="",TipoOrçamento="Licitado")</formula>
    </cfRule>
  </conditionalFormatting>
  <conditionalFormatting sqref="L33:L35">
    <cfRule type="expression" dxfId="239" priority="79" stopIfTrue="1">
      <formula>$J33=$C$2</formula>
    </cfRule>
    <cfRule type="expression" dxfId="238" priority="80" stopIfTrue="1">
      <formula>$J33&lt;&gt;"Serviço"</formula>
    </cfRule>
    <cfRule type="expression" dxfId="237" priority="81" stopIfTrue="1">
      <formula>OR(CELL("proteger",L33),$J33="",TipoOrçamento="Licitado")</formula>
    </cfRule>
  </conditionalFormatting>
  <conditionalFormatting sqref="L37:L39">
    <cfRule type="expression" dxfId="236" priority="76" stopIfTrue="1">
      <formula>$J37=$C$2</formula>
    </cfRule>
    <cfRule type="expression" dxfId="235" priority="77" stopIfTrue="1">
      <formula>$J37&lt;&gt;"Serviço"</formula>
    </cfRule>
    <cfRule type="expression" dxfId="234" priority="78" stopIfTrue="1">
      <formula>OR(CELL("proteger",L37),$J37="",TipoOrçamento="Licitado")</formula>
    </cfRule>
  </conditionalFormatting>
  <conditionalFormatting sqref="L41:L44">
    <cfRule type="expression" dxfId="233" priority="73" stopIfTrue="1">
      <formula>$J41=$C$2</formula>
    </cfRule>
    <cfRule type="expression" dxfId="232" priority="74" stopIfTrue="1">
      <formula>$J41&lt;&gt;"Serviço"</formula>
    </cfRule>
    <cfRule type="expression" dxfId="231" priority="75" stopIfTrue="1">
      <formula>OR(CELL("proteger",L41),$J41="",TipoOrçamento="Licitado")</formula>
    </cfRule>
  </conditionalFormatting>
  <conditionalFormatting sqref="L47:L49">
    <cfRule type="expression" dxfId="230" priority="70" stopIfTrue="1">
      <formula>$J47=$C$2</formula>
    </cfRule>
    <cfRule type="expression" dxfId="229" priority="71" stopIfTrue="1">
      <formula>$J47&lt;&gt;"Serviço"</formula>
    </cfRule>
    <cfRule type="expression" dxfId="228" priority="72" stopIfTrue="1">
      <formula>OR(CELL("proteger",L47),$J47="",TipoOrçamento="Licitado")</formula>
    </cfRule>
  </conditionalFormatting>
  <conditionalFormatting sqref="L51:L53">
    <cfRule type="expression" dxfId="227" priority="67" stopIfTrue="1">
      <formula>$J51=$C$2</formula>
    </cfRule>
    <cfRule type="expression" dxfId="226" priority="68" stopIfTrue="1">
      <formula>$J51&lt;&gt;"Serviço"</formula>
    </cfRule>
    <cfRule type="expression" dxfId="225" priority="69" stopIfTrue="1">
      <formula>OR(CELL("proteger",L51),$J51="",TipoOrçamento="Licitado")</formula>
    </cfRule>
  </conditionalFormatting>
  <conditionalFormatting sqref="L55">
    <cfRule type="expression" dxfId="224" priority="64" stopIfTrue="1">
      <formula>$J55=$C$2</formula>
    </cfRule>
    <cfRule type="expression" dxfId="223" priority="65" stopIfTrue="1">
      <formula>$J55&lt;&gt;"Serviço"</formula>
    </cfRule>
    <cfRule type="expression" dxfId="222" priority="66" stopIfTrue="1">
      <formula>OR(CELL("proteger",L55),$J55="",TipoOrçamento="Licitado")</formula>
    </cfRule>
  </conditionalFormatting>
  <conditionalFormatting sqref="L57">
    <cfRule type="expression" dxfId="221" priority="61" stopIfTrue="1">
      <formula>$J57=$C$2</formula>
    </cfRule>
    <cfRule type="expression" dxfId="220" priority="62" stopIfTrue="1">
      <formula>$J57&lt;&gt;"Serviço"</formula>
    </cfRule>
    <cfRule type="expression" dxfId="219" priority="63" stopIfTrue="1">
      <formula>OR(CELL("proteger",L57),$J57="",TipoOrçamento="Licitado")</formula>
    </cfRule>
  </conditionalFormatting>
  <conditionalFormatting sqref="L59:L60">
    <cfRule type="expression" dxfId="218" priority="58" stopIfTrue="1">
      <formula>$J59=$C$2</formula>
    </cfRule>
    <cfRule type="expression" dxfId="217" priority="59" stopIfTrue="1">
      <formula>$J59&lt;&gt;"Serviço"</formula>
    </cfRule>
    <cfRule type="expression" dxfId="216" priority="60" stopIfTrue="1">
      <formula>OR(CELL("proteger",L59),$J59="",TipoOrçamento="Licitado")</formula>
    </cfRule>
  </conditionalFormatting>
  <conditionalFormatting sqref="L63:L64">
    <cfRule type="expression" dxfId="215" priority="55" stopIfTrue="1">
      <formula>$J63=$C$2</formula>
    </cfRule>
    <cfRule type="expression" dxfId="214" priority="56" stopIfTrue="1">
      <formula>$J63&lt;&gt;"Serviço"</formula>
    </cfRule>
    <cfRule type="expression" dxfId="213" priority="57" stopIfTrue="1">
      <formula>OR(CELL("proteger",L63),$J63="",TipoOrçamento="Licitado")</formula>
    </cfRule>
  </conditionalFormatting>
  <conditionalFormatting sqref="K86">
    <cfRule type="expression" dxfId="212" priority="38" stopIfTrue="1">
      <formula>$J86=$C$2</formula>
    </cfRule>
    <cfRule type="expression" dxfId="211" priority="39" stopIfTrue="1">
      <formula>AND($J86&lt;&gt;"",$J86&lt;&gt;"Serviço")</formula>
    </cfRule>
    <cfRule type="expression" dxfId="210" priority="40" stopIfTrue="1">
      <formula>$J86=""</formula>
    </cfRule>
  </conditionalFormatting>
  <conditionalFormatting sqref="P86">
    <cfRule type="expression" dxfId="209" priority="31" stopIfTrue="1">
      <formula>$J86=$C$2</formula>
    </cfRule>
    <cfRule type="expression" dxfId="208" priority="41" stopIfTrue="1">
      <formula>AND($J86&lt;&gt;"Serviço")</formula>
    </cfRule>
    <cfRule type="expression" dxfId="207" priority="42" stopIfTrue="1">
      <formula>CELL("proteger",P86)</formula>
    </cfRule>
  </conditionalFormatting>
  <conditionalFormatting sqref="Q86:R86">
    <cfRule type="expression" dxfId="206" priority="43" stopIfTrue="1">
      <formula>$J86=$C$2</formula>
    </cfRule>
    <cfRule type="expression" dxfId="205" priority="44" stopIfTrue="1">
      <formula>$J86&lt;&gt;"Serviço"</formula>
    </cfRule>
    <cfRule type="expression" dxfId="204" priority="45" stopIfTrue="1">
      <formula>CELL("proteger",Q86)</formula>
    </cfRule>
  </conditionalFormatting>
  <conditionalFormatting sqref="S86:T86 Y86:Z86">
    <cfRule type="expression" dxfId="203" priority="46" stopIfTrue="1">
      <formula>$J86=$C$2</formula>
    </cfRule>
    <cfRule type="expression" dxfId="202" priority="47" stopIfTrue="1">
      <formula>$J86&lt;&gt;"Serviço"</formula>
    </cfRule>
  </conditionalFormatting>
  <conditionalFormatting sqref="L86:M86">
    <cfRule type="expression" dxfId="201" priority="48" stopIfTrue="1">
      <formula>$J86=$C$2</formula>
    </cfRule>
    <cfRule type="expression" dxfId="200" priority="49" stopIfTrue="1">
      <formula>$J86&lt;&gt;"Serviço"</formula>
    </cfRule>
    <cfRule type="expression" dxfId="199" priority="50" stopIfTrue="1">
      <formula>OR(CELL("proteger",L86),$J86="",TipoOrçamento="Licitado")</formula>
    </cfRule>
  </conditionalFormatting>
  <conditionalFormatting sqref="J86">
    <cfRule type="expression" dxfId="198" priority="51" stopIfTrue="1">
      <formula>TipoOrçamento="Licitado"</formula>
    </cfRule>
  </conditionalFormatting>
  <conditionalFormatting sqref="O86">
    <cfRule type="expression" dxfId="197" priority="32" stopIfTrue="1">
      <formula>$J86=$C$2</formula>
    </cfRule>
    <cfRule type="expression" dxfId="196" priority="33" stopIfTrue="1">
      <formula>AND($J86&lt;&gt;"Serviço")</formula>
    </cfRule>
    <cfRule type="expression" dxfId="195" priority="34" stopIfTrue="1">
      <formula>CELL("proteger",O86)</formula>
    </cfRule>
  </conditionalFormatting>
  <conditionalFormatting sqref="N86">
    <cfRule type="expression" dxfId="194" priority="35" stopIfTrue="1">
      <formula>$J86=$C$2</formula>
    </cfRule>
    <cfRule type="expression" dxfId="193" priority="36" stopIfTrue="1">
      <formula>$J86&lt;&gt;"Serviço"</formula>
    </cfRule>
    <cfRule type="expression" dxfId="192" priority="37" stopIfTrue="1">
      <formula>CELL("proteger",N86)</formula>
    </cfRule>
  </conditionalFormatting>
  <conditionalFormatting sqref="P154">
    <cfRule type="expression" dxfId="191" priority="22" stopIfTrue="1">
      <formula>$J154=$C$2</formula>
    </cfRule>
    <cfRule type="expression" dxfId="190" priority="26" stopIfTrue="1">
      <formula>AND($J154&lt;&gt;"Serviço")</formula>
    </cfRule>
    <cfRule type="expression" dxfId="189" priority="27" stopIfTrue="1">
      <formula>CELL("proteger",P154)</formula>
    </cfRule>
  </conditionalFormatting>
  <conditionalFormatting sqref="Q154">
    <cfRule type="expression" dxfId="188" priority="28" stopIfTrue="1">
      <formula>$J154=$C$2</formula>
    </cfRule>
    <cfRule type="expression" dxfId="187" priority="29" stopIfTrue="1">
      <formula>$J154&lt;&gt;"Serviço"</formula>
    </cfRule>
    <cfRule type="expression" dxfId="186" priority="30" stopIfTrue="1">
      <formula>CELL("proteger",Q154)</formula>
    </cfRule>
  </conditionalFormatting>
  <conditionalFormatting sqref="O154">
    <cfRule type="expression" dxfId="185" priority="23" stopIfTrue="1">
      <formula>$J154=$C$2</formula>
    </cfRule>
    <cfRule type="expression" dxfId="184" priority="24" stopIfTrue="1">
      <formula>AND($J154&lt;&gt;"Serviço")</formula>
    </cfRule>
    <cfRule type="expression" dxfId="183" priority="25" stopIfTrue="1">
      <formula>CELL("proteger",O154)</formula>
    </cfRule>
  </conditionalFormatting>
  <conditionalFormatting sqref="K14:K16">
    <cfRule type="expression" dxfId="182" priority="8" stopIfTrue="1">
      <formula>$J14=$C$2</formula>
    </cfRule>
    <cfRule type="expression" dxfId="181" priority="9" stopIfTrue="1">
      <formula>AND($J14&lt;&gt;"",$J14&lt;&gt;"Serviço")</formula>
    </cfRule>
    <cfRule type="expression" dxfId="180" priority="10" stopIfTrue="1">
      <formula>$J14=""</formula>
    </cfRule>
  </conditionalFormatting>
  <conditionalFormatting sqref="P14:P16">
    <cfRule type="expression" dxfId="179" priority="1" stopIfTrue="1">
      <formula>$J14=$C$2</formula>
    </cfRule>
    <cfRule type="expression" dxfId="178" priority="11" stopIfTrue="1">
      <formula>AND($J14&lt;&gt;"Serviço")</formula>
    </cfRule>
    <cfRule type="expression" dxfId="177" priority="12" stopIfTrue="1">
      <formula>CELL("proteger",P14)</formula>
    </cfRule>
  </conditionalFormatting>
  <conditionalFormatting sqref="Q14:R16">
    <cfRule type="expression" dxfId="176" priority="13" stopIfTrue="1">
      <formula>$J14=$C$2</formula>
    </cfRule>
    <cfRule type="expression" dxfId="175" priority="14" stopIfTrue="1">
      <formula>$J14&lt;&gt;"Serviço"</formula>
    </cfRule>
    <cfRule type="expression" dxfId="174" priority="15" stopIfTrue="1">
      <formula>CELL("proteger",Q14)</formula>
    </cfRule>
  </conditionalFormatting>
  <conditionalFormatting sqref="S14:T16 Y14:Z16">
    <cfRule type="expression" dxfId="173" priority="16" stopIfTrue="1">
      <formula>$J14=$C$2</formula>
    </cfRule>
    <cfRule type="expression" dxfId="172" priority="17" stopIfTrue="1">
      <formula>$J14&lt;&gt;"Serviço"</formula>
    </cfRule>
  </conditionalFormatting>
  <conditionalFormatting sqref="L14:M16">
    <cfRule type="expression" dxfId="171" priority="18" stopIfTrue="1">
      <formula>$J14=$C$2</formula>
    </cfRule>
    <cfRule type="expression" dxfId="170" priority="19" stopIfTrue="1">
      <formula>$J14&lt;&gt;"Serviço"</formula>
    </cfRule>
    <cfRule type="expression" dxfId="169" priority="20" stopIfTrue="1">
      <formula>OR(CELL("proteger",L14),$J14="",TipoOrçamento="Licitado")</formula>
    </cfRule>
  </conditionalFormatting>
  <conditionalFormatting sqref="J14:J16">
    <cfRule type="expression" dxfId="168" priority="21" stopIfTrue="1">
      <formula>TipoOrçamento="Licitado"</formula>
    </cfRule>
  </conditionalFormatting>
  <conditionalFormatting sqref="O14:O16">
    <cfRule type="expression" dxfId="167" priority="2" stopIfTrue="1">
      <formula>$J14=$C$2</formula>
    </cfRule>
    <cfRule type="expression" dxfId="166" priority="3" stopIfTrue="1">
      <formula>AND($J14&lt;&gt;"Serviço")</formula>
    </cfRule>
    <cfRule type="expression" dxfId="165" priority="4" stopIfTrue="1">
      <formula>CELL("proteger",O14)</formula>
    </cfRule>
  </conditionalFormatting>
  <conditionalFormatting sqref="N14:N16">
    <cfRule type="expression" dxfId="164" priority="5" stopIfTrue="1">
      <formula>$J14=$C$2</formula>
    </cfRule>
    <cfRule type="expression" dxfId="163" priority="6" stopIfTrue="1">
      <formula>$J14&lt;&gt;"Serviço"</formula>
    </cfRule>
    <cfRule type="expression" dxfId="162" priority="7" stopIfTrue="1">
      <formula>CELL("proteger",N14)</formula>
    </cfRule>
  </conditionalFormatting>
  <dataValidations count="3">
    <dataValidation type="decimal" operator="greaterThan" allowBlank="1" showInputMessage="1" showErrorMessage="1" error="Apenas números decimais maiores que zero." sqref="Q11 Q13:Q226" xr:uid="{00000000-0002-0000-0200-000000000000}">
      <formula1>0</formula1>
    </dataValidation>
    <dataValidation type="list" errorStyle="warning" allowBlank="1" showInputMessage="1" showErrorMessage="1" error="Selecione um dos 5 BDI da lista._x000a__x000a_Caso tenha mais de 5 BDI nesta Planilha Orçamentária digite apenas valor percentual." sqref="R11 R13:R226" xr:uid="{00000000-0002-0000-0200-000001000000}">
      <formula1>Dados.Lista.BDI</formula1>
    </dataValidation>
    <dataValidation type="list" showInputMessage="1" showErrorMessage="1" errorTitle="Erro de Entrada" error="Selecione somente os itens da lista." promptTitle="Nível:" prompt="Selecione na lista o nível de itemização da Planilha." sqref="J11 J14:J226" xr:uid="{00000000-0002-0000-0200-000002000000}">
      <formula1>$C$2:$G$2</formula1>
    </dataValidation>
  </dataValidations>
  <pageMargins left="0.78740157480314998" right="0.78740157480314998" top="0.78740157480314998" bottom="0.78740157480314998" header="0.59055118110236204" footer="0.59055118110236204"/>
  <pageSetup paperSize="9" scale="63" fitToHeight="0" orientation="landscape" r:id="rId1"/>
  <headerFooter alignWithMargins="0">
    <oddHeader>&amp;C&amp;14I</oddHeader>
    <oddFooter>&amp;R&amp;P&amp;L27.476 v008   micro</oddFooter>
  </headerFooter>
  <ignoredErrors>
    <ignoredError sqref="K238 K241" unlockedFormula="1"/>
  </ignoredError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2">
    <tabColor rgb="FFFFFF00"/>
  </sheetPr>
  <dimension ref="A1:U233"/>
  <sheetViews>
    <sheetView showGridLines="0" zoomScale="85" zoomScaleNormal="85" zoomScaleSheetLayoutView="100" workbookViewId="0">
      <pane xSplit="5" ySplit="10" topLeftCell="F11" activePane="bottomRight" state="frozen"/>
      <selection pane="topRight"/>
      <selection pane="bottomLeft"/>
      <selection pane="bottomRight" activeCell="K14" sqref="K14"/>
    </sheetView>
  </sheetViews>
  <sheetFormatPr defaultRowHeight="12.75" x14ac:dyDescent="0.2"/>
  <cols>
    <col min="1" max="1" width="12.7109375" customWidth="1"/>
    <col min="2" max="2" width="10.7109375" customWidth="1"/>
    <col min="3" max="3" width="60.5703125" customWidth="1"/>
    <col min="4" max="4" width="7.7109375" customWidth="1"/>
    <col min="5" max="5" width="12.7109375" customWidth="1"/>
    <col min="6" max="15" width="11.7109375" customWidth="1"/>
    <col min="16" max="16" width="0.85546875" customWidth="1"/>
    <col min="21" max="21" width="11.7109375" hidden="1" customWidth="1"/>
  </cols>
  <sheetData>
    <row r="1" spans="1:21" s="4" customFormat="1" ht="17.25" customHeight="1" x14ac:dyDescent="0.25">
      <c r="E1" s="85" t="s">
        <v>63</v>
      </c>
      <c r="F1" s="36" t="s">
        <v>64</v>
      </c>
      <c r="K1" s="18"/>
      <c r="O1"/>
    </row>
    <row r="2" spans="1:21" s="4" customFormat="1" ht="15.75" x14ac:dyDescent="0.25">
      <c r="D2" s="6"/>
      <c r="E2" s="85"/>
      <c r="F2" s="36"/>
      <c r="K2" s="19"/>
      <c r="O2"/>
    </row>
    <row r="3" spans="1:21" s="4" customFormat="1" x14ac:dyDescent="0.2">
      <c r="K3" s="20"/>
      <c r="P3" s="20"/>
    </row>
    <row r="4" spans="1:21" s="4" customFormat="1" ht="39.950000000000003" customHeight="1" x14ac:dyDescent="0.2">
      <c r="P4" s="20"/>
    </row>
    <row r="5" spans="1:21" s="4" customFormat="1" ht="39.950000000000003" customHeight="1" x14ac:dyDescent="0.2">
      <c r="P5" s="20"/>
    </row>
    <row r="6" spans="1:21" s="4" customFormat="1" ht="20.25" customHeight="1" x14ac:dyDescent="0.2">
      <c r="P6" s="20"/>
    </row>
    <row r="7" spans="1:21" s="4" customFormat="1" ht="12.75" hidden="1" customHeight="1" x14ac:dyDescent="0.2">
      <c r="E7" s="224">
        <f ca="1">OFFSET(PO!$P$12,ROW($E7)-ROW(E$12),0)</f>
        <v>0</v>
      </c>
      <c r="P7" s="20"/>
    </row>
    <row r="8" spans="1:21" s="4" customFormat="1" ht="9.9499999999999993" customHeight="1" x14ac:dyDescent="0.2">
      <c r="P8" s="20"/>
    </row>
    <row r="9" spans="1:21" s="4" customFormat="1" ht="60" customHeight="1" x14ac:dyDescent="0.2">
      <c r="B9" s="17"/>
      <c r="C9" s="14"/>
      <c r="D9" s="9"/>
      <c r="E9" s="146" t="s">
        <v>46</v>
      </c>
      <c r="F9" s="401" t="s">
        <v>231</v>
      </c>
      <c r="G9" s="401"/>
      <c r="H9" s="401"/>
      <c r="I9" s="401"/>
      <c r="J9" s="401"/>
      <c r="K9" s="401"/>
      <c r="L9" s="401"/>
      <c r="M9" s="401"/>
      <c r="N9" s="401"/>
      <c r="O9" s="401"/>
      <c r="U9" s="122"/>
    </row>
    <row r="10" spans="1:21" s="15" customFormat="1" ht="30" customHeight="1" x14ac:dyDescent="0.2">
      <c r="A10" s="123" t="s">
        <v>3</v>
      </c>
      <c r="B10" s="123" t="s">
        <v>147</v>
      </c>
      <c r="C10" s="123" t="s">
        <v>142</v>
      </c>
      <c r="D10" s="124" t="s">
        <v>158</v>
      </c>
      <c r="E10" s="123" t="s">
        <v>148</v>
      </c>
      <c r="F10" s="125">
        <f t="shared" ref="F10:O10" ca="1" si="0">IF(OFFSET(F10,0,-1)="Quantidade",1,OFFSET(F10,0,-1)+1)</f>
        <v>1</v>
      </c>
      <c r="G10" s="125">
        <f t="shared" ca="1" si="0"/>
        <v>2</v>
      </c>
      <c r="H10" s="125">
        <f t="shared" ca="1" si="0"/>
        <v>3</v>
      </c>
      <c r="I10" s="125">
        <f t="shared" ca="1" si="0"/>
        <v>4</v>
      </c>
      <c r="J10" s="125">
        <f t="shared" ca="1" si="0"/>
        <v>5</v>
      </c>
      <c r="K10" s="125">
        <f t="shared" ca="1" si="0"/>
        <v>6</v>
      </c>
      <c r="L10" s="125">
        <f t="shared" ca="1" si="0"/>
        <v>7</v>
      </c>
      <c r="M10" s="125">
        <f t="shared" ca="1" si="0"/>
        <v>8</v>
      </c>
      <c r="N10" s="125">
        <f t="shared" ca="1" si="0"/>
        <v>9</v>
      </c>
      <c r="O10" s="125">
        <f t="shared" ca="1" si="0"/>
        <v>10</v>
      </c>
      <c r="U10" s="125">
        <f ca="1">IF(OFFSET(U10,0,-1)="Quantidade",1,OFFSET(U10,0,-1)+1)</f>
        <v>1</v>
      </c>
    </row>
    <row r="11" spans="1:21" s="4" customFormat="1" hidden="1" x14ac:dyDescent="0.2">
      <c r="A11" s="128" t="str">
        <f ca="1">OFFSET(PO!J$12,ROW(A11)-ROW($A$12),0)</f>
        <v>Serviço</v>
      </c>
      <c r="B11" s="130" t="e">
        <f ca="1">IF($A11=0,"",OFFSET(PO!K$12,ROW(B11)-ROW(B$12),0))</f>
        <v>#VALUE!</v>
      </c>
      <c r="C11" s="127" t="str">
        <f ca="1">IF(OFFSET(PO!N$12,ROW(C11)-ROW(C$12),0)=0,"",OFFSET(PO!N$12,ROW(C11)-ROW(C$12),0))</f>
        <v/>
      </c>
      <c r="D11" s="129" t="str">
        <f ca="1">IF(OFFSET(PO!O$12,ROW(D11)-ROW(D$12),0)=0,"",OFFSET(PO!O$12,ROW(D11)-ROW(D$12),0))</f>
        <v/>
      </c>
      <c r="E11" s="165">
        <f ca="1">IF($A11&lt;&gt;"Serviço",0,ROUND(SUMIF($F$9:$P$9,"&lt;&gt;",$F11:$P11),15-13*PO!$X$3))</f>
        <v>0</v>
      </c>
      <c r="F11" s="215">
        <f ca="1">OFFSET(PO!$P$12,ROW($E11)-ROW(F$12),0)</f>
        <v>0</v>
      </c>
      <c r="G11" s="215"/>
      <c r="H11" s="215"/>
      <c r="I11" s="215"/>
      <c r="J11" s="215"/>
      <c r="K11" s="215"/>
      <c r="L11" s="215"/>
      <c r="M11" s="215"/>
      <c r="N11" s="215"/>
      <c r="O11" s="215"/>
      <c r="U11" s="215"/>
    </row>
    <row r="12" spans="1:21" s="4" customFormat="1" x14ac:dyDescent="0.2">
      <c r="A12" s="76" t="str">
        <f>PO!J12</f>
        <v>CTEF</v>
      </c>
      <c r="B12" s="76"/>
      <c r="C12" s="76">
        <f>PO!N12</f>
        <v>0</v>
      </c>
      <c r="D12" s="76"/>
      <c r="E12" s="216"/>
      <c r="F12" s="217"/>
      <c r="G12" s="217"/>
      <c r="H12" s="217"/>
      <c r="I12" s="217"/>
      <c r="J12" s="217"/>
      <c r="K12" s="217"/>
      <c r="L12" s="217"/>
      <c r="M12" s="217"/>
      <c r="N12" s="217"/>
      <c r="O12" s="217"/>
      <c r="U12" s="217"/>
    </row>
    <row r="13" spans="1:21" s="4" customFormat="1" x14ac:dyDescent="0.2">
      <c r="A13" s="126" t="str">
        <f ca="1">OFFSET(PO!J$12,ROW(A13)-ROW($A$12),0)</f>
        <v>Meta</v>
      </c>
      <c r="B13" s="130" t="str">
        <f ca="1">IF($A13=0,"",OFFSET(PO!K$12,ROW(B13)-ROW(B$12),0))</f>
        <v>1.</v>
      </c>
      <c r="C13" s="127" t="str">
        <f ca="1">IF(OFFSET(PO!N$12,ROW(C13)-ROW(C$12),0)=0,"",OFFSET(PO!N$12,ROW(C13)-ROW(C$12),0))</f>
        <v xml:space="preserve">Construção de escola no Distrito de São Pedro da Ponte Firme </v>
      </c>
      <c r="D13" s="129" t="str">
        <f ca="1">IF(OFFSET(PO!O$12,ROW(D13)-ROW(D$12),0)=0,"",OFFSET(PO!O$12,ROW(D13)-ROW(D$12),0))</f>
        <v/>
      </c>
      <c r="E13" s="165">
        <f ca="1">IF($A13&lt;&gt;"Serviço",0,ROUND(SUMIF($F$9:$P$9,"&lt;&gt;",$F13:$P13),15-13*PO!$X$3))</f>
        <v>0</v>
      </c>
      <c r="F13" s="400">
        <f ca="1">OFFSET(PO!$P$12,ROW($E13)-ROW(F$12),0)</f>
        <v>0</v>
      </c>
      <c r="G13" s="400"/>
      <c r="H13" s="400"/>
      <c r="I13" s="400"/>
      <c r="J13" s="400"/>
      <c r="K13" s="400"/>
      <c r="L13" s="400"/>
      <c r="M13" s="400"/>
      <c r="N13" s="400"/>
      <c r="O13" s="400"/>
      <c r="U13" s="215"/>
    </row>
    <row r="14" spans="1:21" s="4" customFormat="1" x14ac:dyDescent="0.2">
      <c r="A14" s="128" t="str">
        <f ca="1">OFFSET(PO!J$12,ROW(A14)-ROW($A$12),0)</f>
        <v>Nível 2</v>
      </c>
      <c r="B14" s="130" t="str">
        <f ca="1">IF($A14=0,"",OFFSET(PO!K$12,ROW(B14)-ROW(B$12),0))</f>
        <v>1.1.</v>
      </c>
      <c r="C14" s="127" t="str">
        <f ca="1">IF(OFFSET(PO!N$12,ROW(C14)-ROW(C$12),0)=0,"",OFFSET(PO!N$12,ROW(C14)-ROW(C$12),0))</f>
        <v>ADMINISTRAÇÃO LOCAL</v>
      </c>
      <c r="D14" s="129" t="str">
        <f ca="1">IF(OFFSET(PO!O$12,ROW(D14)-ROW(D$12),0)=0,"",OFFSET(PO!O$12,ROW(D14)-ROW(D$12),0))</f>
        <v/>
      </c>
      <c r="E14" s="165">
        <f ca="1">IF($A14&lt;&gt;"Serviço",0,ROUND(SUMIF($F$9:$P$9,"&lt;&gt;",$F14:$P14),15-13*PO!$X$3))</f>
        <v>0</v>
      </c>
      <c r="F14" s="400">
        <f ca="1">OFFSET(PO!$P$12,ROW($E14)-ROW(F$12),0)</f>
        <v>0</v>
      </c>
      <c r="G14" s="400"/>
      <c r="H14" s="400"/>
      <c r="I14" s="400"/>
      <c r="J14" s="400"/>
      <c r="K14" s="400"/>
      <c r="L14" s="400"/>
      <c r="M14" s="400"/>
      <c r="N14" s="400"/>
      <c r="O14" s="400"/>
      <c r="U14" s="215"/>
    </row>
    <row r="15" spans="1:21" s="4" customFormat="1" x14ac:dyDescent="0.2">
      <c r="A15" s="128" t="str">
        <f ca="1">OFFSET(PO!J$12,ROW(A15)-ROW($A$12),0)</f>
        <v>Serviço</v>
      </c>
      <c r="B15" s="130" t="str">
        <f ca="1">IF($A15=0,"",OFFSET(PO!K$12,ROW(B15)-ROW(B$12),0))</f>
        <v>1.1.0.0.1.</v>
      </c>
      <c r="C15" s="127" t="str">
        <f ca="1">IF(OFFSET(PO!N$12,ROW(C15)-ROW(C$12),0)=0,"",OFFSET(PO!N$12,ROW(C15)-ROW(C$12),0))</f>
        <v>ENCARREGADO GERAL COM ENCARGOS COMPLEMENTARES</v>
      </c>
      <c r="D15" s="129" t="str">
        <f ca="1">IF(OFFSET(PO!O$12,ROW(D15)-ROW(D$12),0)=0,"",OFFSET(PO!O$12,ROW(D15)-ROW(D$12),0))</f>
        <v>HORA</v>
      </c>
      <c r="E15" s="165">
        <f ca="1">IF($A15&lt;&gt;"Serviço",0,ROUND(SUMIF($F$9:$P$9,"&lt;&gt;",$F15:$P15),15-13*PO!$X$3))</f>
        <v>1056</v>
      </c>
      <c r="F15" s="400">
        <f ca="1">OFFSET(PO!$P$12,ROW($E15)-ROW(F$12),0)</f>
        <v>1056</v>
      </c>
      <c r="G15" s="400"/>
      <c r="H15" s="400"/>
      <c r="I15" s="400"/>
      <c r="J15" s="400"/>
      <c r="K15" s="400"/>
      <c r="L15" s="400"/>
      <c r="M15" s="400"/>
      <c r="N15" s="400"/>
      <c r="O15" s="400"/>
      <c r="U15" s="215"/>
    </row>
    <row r="16" spans="1:21" s="4" customFormat="1" ht="25.5" x14ac:dyDescent="0.2">
      <c r="A16" s="128" t="str">
        <f ca="1">OFFSET(PO!J$12,ROW(A16)-ROW($A$12),0)</f>
        <v>Serviço</v>
      </c>
      <c r="B16" s="130" t="str">
        <f ca="1">IF($A16=0,"",OFFSET(PO!K$12,ROW(B16)-ROW(B$12),0))</f>
        <v>1.1.0.0.2.</v>
      </c>
      <c r="C16" s="127" t="str">
        <f ca="1">IF(OFFSET(PO!N$12,ROW(C16)-ROW(C$12),0)=0,"",OFFSET(PO!N$12,ROW(C16)-ROW(C$12),0))</f>
        <v>ENGENHEIRO CIVIL DE OBRA JUNIOR COM ENCARGOS COMPLEMENTARES</v>
      </c>
      <c r="D16" s="129" t="str">
        <f ca="1">IF(OFFSET(PO!O$12,ROW(D16)-ROW(D$12),0)=0,"",OFFSET(PO!O$12,ROW(D16)-ROW(D$12),0))</f>
        <v>HORA</v>
      </c>
      <c r="E16" s="165">
        <f ca="1">IF($A16&lt;&gt;"Serviço",0,ROUND(SUMIF($F$9:$P$9,"&lt;&gt;",$F16:$P16),15-13*PO!$X$3))</f>
        <v>288</v>
      </c>
      <c r="F16" s="400">
        <f ca="1">OFFSET(PO!$P$12,ROW($E16)-ROW(F$12),0)</f>
        <v>288</v>
      </c>
      <c r="G16" s="400"/>
      <c r="H16" s="400"/>
      <c r="I16" s="400"/>
      <c r="J16" s="400"/>
      <c r="K16" s="400"/>
      <c r="L16" s="400"/>
      <c r="M16" s="400"/>
      <c r="N16" s="400"/>
      <c r="O16" s="400"/>
      <c r="U16" s="215"/>
    </row>
    <row r="17" spans="1:21" s="4" customFormat="1" x14ac:dyDescent="0.2">
      <c r="A17" s="128" t="str">
        <f ca="1">OFFSET(PO!J$12,ROW(A17)-ROW($A$12),0)</f>
        <v>Nível 2</v>
      </c>
      <c r="B17" s="130" t="str">
        <f ca="1">IF($A17=0,"",OFFSET(PO!K$12,ROW(B17)-ROW(B$12),0))</f>
        <v>1.2.</v>
      </c>
      <c r="C17" s="127" t="str">
        <f ca="1">IF(OFFSET(PO!N$12,ROW(C17)-ROW(C$12),0)=0,"",OFFSET(PO!N$12,ROW(C17)-ROW(C$12),0))</f>
        <v>SERVIÇOS PRELIMINARES</v>
      </c>
      <c r="D17" s="129" t="str">
        <f ca="1">IF(OFFSET(PO!O$12,ROW(D17)-ROW(D$12),0)=0,"",OFFSET(PO!O$12,ROW(D17)-ROW(D$12),0))</f>
        <v/>
      </c>
      <c r="E17" s="165">
        <f ca="1">IF($A17&lt;&gt;"Serviço",0,ROUND(SUMIF($F$9:$P$9,"&lt;&gt;",$F17:$P17),15-13*PO!$X$3))</f>
        <v>0</v>
      </c>
      <c r="F17" s="400">
        <f ca="1">OFFSET(PO!$P$12,ROW($E17)-ROW(F$12),0)</f>
        <v>0</v>
      </c>
      <c r="G17" s="400"/>
      <c r="H17" s="400"/>
      <c r="I17" s="400"/>
      <c r="J17" s="400"/>
      <c r="K17" s="400"/>
      <c r="L17" s="400"/>
      <c r="M17" s="400"/>
      <c r="N17" s="400"/>
      <c r="O17" s="400"/>
      <c r="U17" s="215"/>
    </row>
    <row r="18" spans="1:21" s="4" customFormat="1" ht="38.25" x14ac:dyDescent="0.2">
      <c r="A18" s="128" t="str">
        <f ca="1">OFFSET(PO!J$12,ROW(A18)-ROW($A$12),0)</f>
        <v>Serviço</v>
      </c>
      <c r="B18" s="130" t="str">
        <f ca="1">IF($A18=0,"",OFFSET(PO!K$12,ROW(B18)-ROW(B$12),0))</f>
        <v>1.2.0.0.1.</v>
      </c>
      <c r="C18" s="127" t="str">
        <f ca="1">IF(OFFSET(PO!N$12,ROW(C18)-ROW(C$12),0)=0,"",OFFSET(PO!N$12,ROW(C18)-ROW(C$12),0))</f>
        <v>Fornecimento e colocação de placa dos serviços de engenharia em chapa galvanizada (3,00 X 1,50m)   -  Governo do Estado  -  (Ampliação e / ou Reforma acima de R$ 30.000,00)</v>
      </c>
      <c r="D18" s="129" t="str">
        <f ca="1">IF(OFFSET(PO!O$12,ROW(D18)-ROW(D$12),0)=0,"",OFFSET(PO!O$12,ROW(D18)-ROW(D$12),0))</f>
        <v>UN</v>
      </c>
      <c r="E18" s="165">
        <f ca="1">IF($A18&lt;&gt;"Serviço",0,ROUND(SUMIF($F$9:$P$9,"&lt;&gt;",$F18:$P18),15-13*PO!$X$3))</f>
        <v>1</v>
      </c>
      <c r="F18" s="400">
        <f ca="1">OFFSET(PO!$P$12,ROW($E18)-ROW(F$12),0)</f>
        <v>1</v>
      </c>
      <c r="G18" s="400"/>
      <c r="H18" s="400"/>
      <c r="I18" s="400"/>
      <c r="J18" s="400"/>
      <c r="K18" s="400"/>
      <c r="L18" s="400"/>
      <c r="M18" s="400"/>
      <c r="N18" s="400"/>
      <c r="O18" s="400"/>
      <c r="U18" s="215"/>
    </row>
    <row r="19" spans="1:21" s="4" customFormat="1" ht="25.5" x14ac:dyDescent="0.2">
      <c r="A19" s="128" t="str">
        <f ca="1">OFFSET(PO!J$12,ROW(A19)-ROW($A$12),0)</f>
        <v>Serviço</v>
      </c>
      <c r="B19" s="130" t="str">
        <f ca="1">IF($A19=0,"",OFFSET(PO!K$12,ROW(B19)-ROW(B$12),0))</f>
        <v>1.2.0.0.2.</v>
      </c>
      <c r="C19" s="127" t="str">
        <f ca="1">IF(OFFSET(PO!N$12,ROW(C19)-ROW(C$12),0)=0,"",OFFSET(PO!N$12,ROW(C19)-ROW(C$12),0))</f>
        <v>Tapume em chapa compensado de 6mm e pontaletes h= 2,20m com portão.</v>
      </c>
      <c r="D19" s="129" t="str">
        <f ca="1">IF(OFFSET(PO!O$12,ROW(D19)-ROW(D$12),0)=0,"",OFFSET(PO!O$12,ROW(D19)-ROW(D$12),0))</f>
        <v>M²</v>
      </c>
      <c r="E19" s="165">
        <f ca="1">IF($A19&lt;&gt;"Serviço",0,ROUND(SUMIF($F$9:$P$9,"&lt;&gt;",$F19:$P19),15-13*PO!$X$3))</f>
        <v>176</v>
      </c>
      <c r="F19" s="400">
        <f ca="1">OFFSET(PO!$P$12,ROW($E19)-ROW(F$12),0)</f>
        <v>176</v>
      </c>
      <c r="G19" s="400"/>
      <c r="H19" s="400"/>
      <c r="I19" s="400"/>
      <c r="J19" s="400"/>
      <c r="K19" s="400"/>
      <c r="L19" s="400"/>
      <c r="M19" s="400"/>
      <c r="N19" s="400"/>
      <c r="O19" s="400"/>
      <c r="U19" s="215"/>
    </row>
    <row r="20" spans="1:21" s="4" customFormat="1" x14ac:dyDescent="0.2">
      <c r="A20" s="128" t="str">
        <f ca="1">OFFSET(PO!J$12,ROW(A20)-ROW($A$12),0)</f>
        <v>Serviço</v>
      </c>
      <c r="B20" s="130" t="str">
        <f ca="1">IF($A20=0,"",OFFSET(PO!K$12,ROW(B20)-ROW(B$12),0))</f>
        <v>1.2.0.0.3.</v>
      </c>
      <c r="C20" s="127" t="str">
        <f ca="1">IF(OFFSET(PO!N$12,ROW(C20)-ROW(C$12),0)=0,"",OFFSET(PO!N$12,ROW(C20)-ROW(C$12),0))</f>
        <v>Ligação provisória de luz e força - instalação mínima</v>
      </c>
      <c r="D20" s="129" t="str">
        <f ca="1">IF(OFFSET(PO!O$12,ROW(D20)-ROW(D$12),0)=0,"",OFFSET(PO!O$12,ROW(D20)-ROW(D$12),0))</f>
        <v>UN</v>
      </c>
      <c r="E20" s="165">
        <f ca="1">IF($A20&lt;&gt;"Serviço",0,ROUND(SUMIF($F$9:$P$9,"&lt;&gt;",$F20:$P20),15-13*PO!$X$3))</f>
        <v>1</v>
      </c>
      <c r="F20" s="400">
        <f ca="1">OFFSET(PO!$P$12,ROW($E20)-ROW(F$12),0)</f>
        <v>1</v>
      </c>
      <c r="G20" s="400"/>
      <c r="H20" s="400"/>
      <c r="I20" s="400"/>
      <c r="J20" s="400"/>
      <c r="K20" s="400"/>
      <c r="L20" s="400"/>
      <c r="M20" s="400"/>
      <c r="N20" s="400"/>
      <c r="O20" s="400"/>
      <c r="U20" s="215"/>
    </row>
    <row r="21" spans="1:21" s="4" customFormat="1" ht="25.5" x14ac:dyDescent="0.2">
      <c r="A21" s="128" t="str">
        <f ca="1">OFFSET(PO!J$12,ROW(A21)-ROW($A$12),0)</f>
        <v>Serviço</v>
      </c>
      <c r="B21" s="130" t="str">
        <f ca="1">IF($A21=0,"",OFFSET(PO!K$12,ROW(B21)-ROW(B$12),0))</f>
        <v>1.2.0.0.4.</v>
      </c>
      <c r="C21" s="127" t="str">
        <f ca="1">IF(OFFSET(PO!N$12,ROW(C21)-ROW(C$12),0)=0,"",OFFSET(PO!N$12,ROW(C21)-ROW(C$12),0))</f>
        <v>Ligação provisória de água e esgoto a rede pública para obra - instalação mínima</v>
      </c>
      <c r="D21" s="129" t="str">
        <f ca="1">IF(OFFSET(PO!O$12,ROW(D21)-ROW(D$12),0)=0,"",OFFSET(PO!O$12,ROW(D21)-ROW(D$12),0))</f>
        <v>UN</v>
      </c>
      <c r="E21" s="165">
        <f ca="1">IF($A21&lt;&gt;"Serviço",0,ROUND(SUMIF($F$9:$P$9,"&lt;&gt;",$F21:$P21),15-13*PO!$X$3))</f>
        <v>333.45</v>
      </c>
      <c r="F21" s="400">
        <f ca="1">OFFSET(PO!$P$12,ROW($E21)-ROW(F$12),0)</f>
        <v>333.45</v>
      </c>
      <c r="G21" s="400"/>
      <c r="H21" s="400"/>
      <c r="I21" s="400"/>
      <c r="J21" s="400"/>
      <c r="K21" s="400"/>
      <c r="L21" s="400"/>
      <c r="M21" s="400"/>
      <c r="N21" s="400"/>
      <c r="O21" s="400"/>
      <c r="U21" s="215"/>
    </row>
    <row r="22" spans="1:21" s="4" customFormat="1" ht="25.5" x14ac:dyDescent="0.2">
      <c r="A22" s="128" t="str">
        <f ca="1">OFFSET(PO!J$12,ROW(A22)-ROW($A$12),0)</f>
        <v>Serviço</v>
      </c>
      <c r="B22" s="130" t="str">
        <f ca="1">IF($A22=0,"",OFFSET(PO!K$12,ROW(B22)-ROW(B$12),0))</f>
        <v>1.2.0.0.5.</v>
      </c>
      <c r="C22" s="127" t="str">
        <f ca="1">IF(OFFSET(PO!N$12,ROW(C22)-ROW(C$12),0)=0,"",OFFSET(PO!N$12,ROW(C22)-ROW(C$12),0))</f>
        <v>Barracão  em madeira, piso cimentado e cobertura em telhas de fibrocimento ondulada para instalação sanitária.</v>
      </c>
      <c r="D22" s="129" t="str">
        <f ca="1">IF(OFFSET(PO!O$12,ROW(D22)-ROW(D$12),0)=0,"",OFFSET(PO!O$12,ROW(D22)-ROW(D$12),0))</f>
        <v>M²</v>
      </c>
      <c r="E22" s="165">
        <f ca="1">IF($A22&lt;&gt;"Serviço",0,ROUND(SUMIF($F$9:$P$9,"&lt;&gt;",$F22:$P22),15-13*PO!$X$3))</f>
        <v>2.52</v>
      </c>
      <c r="F22" s="400">
        <f ca="1">OFFSET(PO!$P$12,ROW($E22)-ROW(F$12),0)</f>
        <v>2.52</v>
      </c>
      <c r="G22" s="400"/>
      <c r="H22" s="400"/>
      <c r="I22" s="400"/>
      <c r="J22" s="400"/>
      <c r="K22" s="400"/>
      <c r="L22" s="400"/>
      <c r="M22" s="400"/>
      <c r="N22" s="400"/>
      <c r="O22" s="400"/>
      <c r="U22" s="215"/>
    </row>
    <row r="23" spans="1:21" s="4" customFormat="1" ht="25.5" x14ac:dyDescent="0.2">
      <c r="A23" s="128" t="str">
        <f ca="1">OFFSET(PO!J$12,ROW(A23)-ROW($A$12),0)</f>
        <v>Serviço</v>
      </c>
      <c r="B23" s="130" t="str">
        <f ca="1">IF($A23=0,"",OFFSET(PO!K$12,ROW(B23)-ROW(B$12),0))</f>
        <v>1.2.0.0.6.</v>
      </c>
      <c r="C23" s="127" t="str">
        <f ca="1">IF(OFFSET(PO!N$12,ROW(C23)-ROW(C$12),0)=0,"",OFFSET(PO!N$12,ROW(C23)-ROW(C$12),0))</f>
        <v>Barracão em madeira, piso cimentado e cobertura em telhas de fibrocimento ondulada</v>
      </c>
      <c r="D23" s="129" t="str">
        <f ca="1">IF(OFFSET(PO!O$12,ROW(D23)-ROW(D$12),0)=0,"",OFFSET(PO!O$12,ROW(D23)-ROW(D$12),0))</f>
        <v>M²</v>
      </c>
      <c r="E23" s="165">
        <f ca="1">IF($A23&lt;&gt;"Serviço",0,ROUND(SUMIF($F$9:$P$9,"&lt;&gt;",$F23:$P23),15-13*PO!$X$3))</f>
        <v>40</v>
      </c>
      <c r="F23" s="400">
        <f ca="1">OFFSET(PO!$P$12,ROW($E23)-ROW(F$12),0)</f>
        <v>40</v>
      </c>
      <c r="G23" s="400"/>
      <c r="H23" s="400"/>
      <c r="I23" s="400"/>
      <c r="J23" s="400"/>
      <c r="K23" s="400"/>
      <c r="L23" s="400"/>
      <c r="M23" s="400"/>
      <c r="N23" s="400"/>
      <c r="O23" s="400"/>
      <c r="U23" s="215"/>
    </row>
    <row r="24" spans="1:21" s="4" customFormat="1" x14ac:dyDescent="0.2">
      <c r="A24" s="128" t="str">
        <f ca="1">OFFSET(PO!J$12,ROW(A24)-ROW($A$12),0)</f>
        <v>Serviço</v>
      </c>
      <c r="B24" s="130" t="str">
        <f ca="1">IF($A24=0,"",OFFSET(PO!K$12,ROW(B24)-ROW(B$12),0))</f>
        <v>1.2.0.0.7.</v>
      </c>
      <c r="C24" s="127" t="str">
        <f ca="1">IF(OFFSET(PO!N$12,ROW(C24)-ROW(C$12),0)=0,"",OFFSET(PO!N$12,ROW(C24)-ROW(C$12),0))</f>
        <v>Locação dos serviços de engenharia: execução de gabarito</v>
      </c>
      <c r="D24" s="129" t="str">
        <f ca="1">IF(OFFSET(PO!O$12,ROW(D24)-ROW(D$12),0)=0,"",OFFSET(PO!O$12,ROW(D24)-ROW(D$12),0))</f>
        <v>M²</v>
      </c>
      <c r="E24" s="165">
        <f ca="1">IF($A24&lt;&gt;"Serviço",0,ROUND(SUMIF($F$9:$P$9,"&lt;&gt;",$F24:$P24),15-13*PO!$X$3))</f>
        <v>1129.6400000000001</v>
      </c>
      <c r="F24" s="400">
        <f ca="1">OFFSET(PO!$P$12,ROW($E24)-ROW(F$12),0)</f>
        <v>1129.6400000000001</v>
      </c>
      <c r="G24" s="400"/>
      <c r="H24" s="400"/>
      <c r="I24" s="400"/>
      <c r="J24" s="400"/>
      <c r="K24" s="400"/>
      <c r="L24" s="400"/>
      <c r="M24" s="400"/>
      <c r="N24" s="400"/>
      <c r="O24" s="400"/>
      <c r="U24" s="215"/>
    </row>
    <row r="25" spans="1:21" s="4" customFormat="1" x14ac:dyDescent="0.2">
      <c r="A25" s="128" t="str">
        <f ca="1">OFFSET(PO!J$12,ROW(A25)-ROW($A$12),0)</f>
        <v>Serviço</v>
      </c>
      <c r="B25" s="130" t="str">
        <f ca="1">IF($A25=0,"",OFFSET(PO!K$12,ROW(B25)-ROW(B$12),0))</f>
        <v>1.2.0.0.8.</v>
      </c>
      <c r="C25" s="127" t="str">
        <f ca="1">IF(OFFSET(PO!N$12,ROW(C25)-ROW(C$12),0)=0,"",OFFSET(PO!N$12,ROW(C25)-ROW(C$12),0))</f>
        <v>Limpeza do terreno, raspagem, capina e queima manual</v>
      </c>
      <c r="D25" s="129" t="str">
        <f ca="1">IF(OFFSET(PO!O$12,ROW(D25)-ROW(D$12),0)=0,"",OFFSET(PO!O$12,ROW(D25)-ROW(D$12),0))</f>
        <v>M²</v>
      </c>
      <c r="E25" s="165">
        <f ca="1">IF($A25&lt;&gt;"Serviço",0,ROUND(SUMIF($F$9:$P$9,"&lt;&gt;",$F25:$P25),15-13*PO!$X$3))</f>
        <v>4000</v>
      </c>
      <c r="F25" s="400">
        <f ca="1">OFFSET(PO!$P$12,ROW($E25)-ROW(F$12),0)</f>
        <v>4000</v>
      </c>
      <c r="G25" s="400"/>
      <c r="H25" s="400"/>
      <c r="I25" s="400"/>
      <c r="J25" s="400"/>
      <c r="K25" s="400"/>
      <c r="L25" s="400"/>
      <c r="M25" s="400"/>
      <c r="N25" s="400"/>
      <c r="O25" s="400"/>
      <c r="U25" s="215"/>
    </row>
    <row r="26" spans="1:21" s="4" customFormat="1" x14ac:dyDescent="0.2">
      <c r="A26" s="128" t="str">
        <f ca="1">OFFSET(PO!J$12,ROW(A26)-ROW($A$12),0)</f>
        <v>Nível 2</v>
      </c>
      <c r="B26" s="130" t="str">
        <f ca="1">IF($A26=0,"",OFFSET(PO!K$12,ROW(B26)-ROW(B$12),0))</f>
        <v>1.3.</v>
      </c>
      <c r="C26" s="127" t="str">
        <f ca="1">IF(OFFSET(PO!N$12,ROW(C26)-ROW(C$12),0)=0,"",OFFSET(PO!N$12,ROW(C26)-ROW(C$12),0))</f>
        <v>MOVIMENTO DE TERRAS PARA FUNDAÇÃO</v>
      </c>
      <c r="D26" s="129" t="str">
        <f ca="1">IF(OFFSET(PO!O$12,ROW(D26)-ROW(D$12),0)=0,"",OFFSET(PO!O$12,ROW(D26)-ROW(D$12),0))</f>
        <v/>
      </c>
      <c r="E26" s="165">
        <f ca="1">IF($A26&lt;&gt;"Serviço",0,ROUND(SUMIF($F$9:$P$9,"&lt;&gt;",$F26:$P26),15-13*PO!$X$3))</f>
        <v>0</v>
      </c>
      <c r="F26" s="400">
        <f ca="1">OFFSET(PO!$P$12,ROW($E26)-ROW(F$12),0)</f>
        <v>0</v>
      </c>
      <c r="G26" s="400"/>
      <c r="H26" s="400"/>
      <c r="I26" s="400"/>
      <c r="J26" s="400"/>
      <c r="K26" s="400"/>
      <c r="L26" s="400"/>
      <c r="M26" s="400"/>
      <c r="N26" s="400"/>
      <c r="O26" s="400"/>
      <c r="U26" s="215"/>
    </row>
    <row r="27" spans="1:21" s="4" customFormat="1" x14ac:dyDescent="0.2">
      <c r="A27" s="128" t="str">
        <f ca="1">OFFSET(PO!J$12,ROW(A27)-ROW($A$12),0)</f>
        <v>Serviço</v>
      </c>
      <c r="B27" s="130" t="str">
        <f ca="1">IF($A27=0,"",OFFSET(PO!K$12,ROW(B27)-ROW(B$12),0))</f>
        <v>1.3.0.0.1.</v>
      </c>
      <c r="C27" s="127" t="str">
        <f ca="1">IF(OFFSET(PO!N$12,ROW(C27)-ROW(C$12),0)=0,"",OFFSET(PO!N$12,ROW(C27)-ROW(C$12),0))</f>
        <v>Aterro Compactado manual, com soquete</v>
      </c>
      <c r="D27" s="129" t="str">
        <f ca="1">IF(OFFSET(PO!O$12,ROW(D27)-ROW(D$12),0)=0,"",OFFSET(PO!O$12,ROW(D27)-ROW(D$12),0))</f>
        <v>M³</v>
      </c>
      <c r="E27" s="165">
        <f ca="1">IF($A27&lt;&gt;"Serviço",0,ROUND(SUMIF($F$9:$P$9,"&lt;&gt;",$F27:$P27),15-13*PO!$X$3))</f>
        <v>168.5</v>
      </c>
      <c r="F27" s="400">
        <f ca="1">OFFSET(PO!$P$12,ROW($E27)-ROW(F$12),0)</f>
        <v>168.5</v>
      </c>
      <c r="G27" s="400"/>
      <c r="H27" s="400"/>
      <c r="I27" s="400"/>
      <c r="J27" s="400"/>
      <c r="K27" s="400"/>
      <c r="L27" s="400"/>
      <c r="M27" s="400"/>
      <c r="N27" s="400"/>
      <c r="O27" s="400"/>
      <c r="U27" s="215"/>
    </row>
    <row r="28" spans="1:21" s="4" customFormat="1" ht="25.5" x14ac:dyDescent="0.2">
      <c r="A28" s="128" t="str">
        <f ca="1">OFFSET(PO!J$12,ROW(A28)-ROW($A$12),0)</f>
        <v>Serviço</v>
      </c>
      <c r="B28" s="130" t="str">
        <f ca="1">IF($A28=0,"",OFFSET(PO!K$12,ROW(B28)-ROW(B$12),0))</f>
        <v>1.3.0.0.2.</v>
      </c>
      <c r="C28" s="127" t="str">
        <f ca="1">IF(OFFSET(PO!N$12,ROW(C28)-ROW(C$12),0)=0,"",OFFSET(PO!N$12,ROW(C28)-ROW(C$12),0))</f>
        <v>Escavação  manual de vala em solo de 1ª e 2ª categoria, profundidade em até 2,00m</v>
      </c>
      <c r="D28" s="129" t="str">
        <f ca="1">IF(OFFSET(PO!O$12,ROW(D28)-ROW(D$12),0)=0,"",OFFSET(PO!O$12,ROW(D28)-ROW(D$12),0))</f>
        <v>M³</v>
      </c>
      <c r="E28" s="165">
        <f ca="1">IF($A28&lt;&gt;"Serviço",0,ROUND(SUMIF($F$9:$P$9,"&lt;&gt;",$F28:$P28),15-13*PO!$X$3))</f>
        <v>94.33</v>
      </c>
      <c r="F28" s="400">
        <f ca="1">OFFSET(PO!$P$12,ROW($E28)-ROW(F$12),0)</f>
        <v>94.33</v>
      </c>
      <c r="G28" s="400"/>
      <c r="H28" s="400"/>
      <c r="I28" s="400"/>
      <c r="J28" s="400"/>
      <c r="K28" s="400"/>
      <c r="L28" s="400"/>
      <c r="M28" s="400"/>
      <c r="N28" s="400"/>
      <c r="O28" s="400"/>
      <c r="U28" s="215"/>
    </row>
    <row r="29" spans="1:21" s="4" customFormat="1" x14ac:dyDescent="0.2">
      <c r="A29" s="128" t="str">
        <f ca="1">OFFSET(PO!J$12,ROW(A29)-ROW($A$12),0)</f>
        <v>Serviço</v>
      </c>
      <c r="B29" s="130" t="str">
        <f ca="1">IF($A29=0,"",OFFSET(PO!K$12,ROW(B29)-ROW(B$12),0))</f>
        <v>1.3.0.0.3.</v>
      </c>
      <c r="C29" s="127" t="str">
        <f ca="1">IF(OFFSET(PO!N$12,ROW(C29)-ROW(C$12),0)=0,"",OFFSET(PO!N$12,ROW(C29)-ROW(C$12),0))</f>
        <v>Regularização de fundo de vala com apiloamento com maço de 30kg</v>
      </c>
      <c r="D29" s="129" t="str">
        <f ca="1">IF(OFFSET(PO!O$12,ROW(D29)-ROW(D$12),0)=0,"",OFFSET(PO!O$12,ROW(D29)-ROW(D$12),0))</f>
        <v>M²</v>
      </c>
      <c r="E29" s="165">
        <f ca="1">IF($A29&lt;&gt;"Serviço",0,ROUND(SUMIF($F$9:$P$9,"&lt;&gt;",$F29:$P29),15-13*PO!$X$3))</f>
        <v>148.58000000000001</v>
      </c>
      <c r="F29" s="400">
        <f ca="1">OFFSET(PO!$P$12,ROW($E29)-ROW(F$12),0)</f>
        <v>148.58000000000001</v>
      </c>
      <c r="G29" s="400"/>
      <c r="H29" s="400"/>
      <c r="I29" s="400"/>
      <c r="J29" s="400"/>
      <c r="K29" s="400"/>
      <c r="L29" s="400"/>
      <c r="M29" s="400"/>
      <c r="N29" s="400"/>
      <c r="O29" s="400"/>
      <c r="U29" s="215"/>
    </row>
    <row r="30" spans="1:21" s="4" customFormat="1" x14ac:dyDescent="0.2">
      <c r="A30" s="128" t="str">
        <f ca="1">OFFSET(PO!J$12,ROW(A30)-ROW($A$12),0)</f>
        <v>Serviço</v>
      </c>
      <c r="B30" s="130" t="str">
        <f ca="1">IF($A30=0,"",OFFSET(PO!K$12,ROW(B30)-ROW(B$12),0))</f>
        <v>1.3.0.0.4.</v>
      </c>
      <c r="C30" s="127" t="str">
        <f ca="1">IF(OFFSET(PO!N$12,ROW(C30)-ROW(C$12),0)=0,"",OFFSET(PO!N$12,ROW(C30)-ROW(C$12),0))</f>
        <v>Reaterro manual de vala apiloado</v>
      </c>
      <c r="D30" s="129" t="str">
        <f ca="1">IF(OFFSET(PO!O$12,ROW(D30)-ROW(D$12),0)=0,"",OFFSET(PO!O$12,ROW(D30)-ROW(D$12),0))</f>
        <v>M³</v>
      </c>
      <c r="E30" s="165">
        <f ca="1">IF($A30&lt;&gt;"Serviço",0,ROUND(SUMIF($F$9:$P$9,"&lt;&gt;",$F30:$P30),15-13*PO!$X$3))</f>
        <v>55.58</v>
      </c>
      <c r="F30" s="400">
        <f ca="1">OFFSET(PO!$P$12,ROW($E30)-ROW(F$12),0)</f>
        <v>55.58</v>
      </c>
      <c r="G30" s="400"/>
      <c r="H30" s="400"/>
      <c r="I30" s="400"/>
      <c r="J30" s="400"/>
      <c r="K30" s="400"/>
      <c r="L30" s="400"/>
      <c r="M30" s="400"/>
      <c r="N30" s="400"/>
      <c r="O30" s="400"/>
      <c r="U30" s="215"/>
    </row>
    <row r="31" spans="1:21" s="4" customFormat="1" x14ac:dyDescent="0.2">
      <c r="A31" s="128" t="str">
        <f ca="1">OFFSET(PO!J$12,ROW(A31)-ROW($A$12),0)</f>
        <v>Nível 2</v>
      </c>
      <c r="B31" s="130" t="str">
        <f ca="1">IF($A31=0,"",OFFSET(PO!K$12,ROW(B31)-ROW(B$12),0))</f>
        <v>1.4.</v>
      </c>
      <c r="C31" s="127" t="str">
        <f ca="1">IF(OFFSET(PO!N$12,ROW(C31)-ROW(C$12),0)=0,"",OFFSET(PO!N$12,ROW(C31)-ROW(C$12),0))</f>
        <v>FUNDAÇÕES</v>
      </c>
      <c r="D31" s="129" t="str">
        <f ca="1">IF(OFFSET(PO!O$12,ROW(D31)-ROW(D$12),0)=0,"",OFFSET(PO!O$12,ROW(D31)-ROW(D$12),0))</f>
        <v/>
      </c>
      <c r="E31" s="165">
        <f ca="1">IF($A31&lt;&gt;"Serviço",0,ROUND(SUMIF($F$9:$P$9,"&lt;&gt;",$F31:$P31),15-13*PO!$X$3))</f>
        <v>0</v>
      </c>
      <c r="F31" s="400">
        <f ca="1">OFFSET(PO!$P$12,ROW($E31)-ROW(F$12),0)</f>
        <v>0</v>
      </c>
      <c r="G31" s="400"/>
      <c r="H31" s="400"/>
      <c r="I31" s="400"/>
      <c r="J31" s="400"/>
      <c r="K31" s="400"/>
      <c r="L31" s="400"/>
      <c r="M31" s="400"/>
      <c r="N31" s="400"/>
      <c r="O31" s="400"/>
      <c r="U31" s="215"/>
    </row>
    <row r="32" spans="1:21" s="4" customFormat="1" x14ac:dyDescent="0.2">
      <c r="A32" s="128" t="str">
        <f ca="1">OFFSET(PO!J$12,ROW(A32)-ROW($A$12),0)</f>
        <v>Nível 3</v>
      </c>
      <c r="B32" s="130" t="str">
        <f ca="1">IF($A32=0,"",OFFSET(PO!K$12,ROW(B32)-ROW(B$12),0))</f>
        <v>1.4.1.</v>
      </c>
      <c r="C32" s="127" t="str">
        <f ca="1">IF(OFFSET(PO!N$12,ROW(C32)-ROW(C$12),0)=0,"",OFFSET(PO!N$12,ROW(C32)-ROW(C$12),0))</f>
        <v>CONCRETO ARMADO PARA FUNDAÇÕES</v>
      </c>
      <c r="D32" s="129" t="str">
        <f ca="1">IF(OFFSET(PO!O$12,ROW(D32)-ROW(D$12),0)=0,"",OFFSET(PO!O$12,ROW(D32)-ROW(D$12),0))</f>
        <v/>
      </c>
      <c r="E32" s="165">
        <f ca="1">IF($A32&lt;&gt;"Serviço",0,ROUND(SUMIF($F$9:$P$9,"&lt;&gt;",$F32:$P32),15-13*PO!$X$3))</f>
        <v>0</v>
      </c>
      <c r="F32" s="400">
        <f ca="1">OFFSET(PO!$P$12,ROW($E32)-ROW(F$12),0)</f>
        <v>0</v>
      </c>
      <c r="G32" s="400"/>
      <c r="H32" s="400"/>
      <c r="I32" s="400"/>
      <c r="J32" s="400"/>
      <c r="K32" s="400"/>
      <c r="L32" s="400"/>
      <c r="M32" s="400"/>
      <c r="N32" s="400"/>
      <c r="O32" s="400"/>
      <c r="U32" s="215"/>
    </row>
    <row r="33" spans="1:21" s="4" customFormat="1" ht="25.5" x14ac:dyDescent="0.2">
      <c r="A33" s="128" t="str">
        <f ca="1">OFFSET(PO!J$12,ROW(A33)-ROW($A$12),0)</f>
        <v>Serviço</v>
      </c>
      <c r="B33" s="130" t="str">
        <f ca="1">IF($A33=0,"",OFFSET(PO!K$12,ROW(B33)-ROW(B$12),0))</f>
        <v>1.4.1.0.1.</v>
      </c>
      <c r="C33" s="127" t="str">
        <f ca="1">IF(OFFSET(PO!N$12,ROW(C33)-ROW(C$12),0)=0,"",OFFSET(PO!N$12,ROW(C33)-ROW(C$12),0))</f>
        <v>Execução de estaca broca c/ trado manual de 25 cm de diâmetro completa.</v>
      </c>
      <c r="D33" s="129" t="str">
        <f ca="1">IF(OFFSET(PO!O$12,ROW(D33)-ROW(D$12),0)=0,"",OFFSET(PO!O$12,ROW(D33)-ROW(D$12),0))</f>
        <v>M</v>
      </c>
      <c r="E33" s="165">
        <f ca="1">IF($A33&lt;&gt;"Serviço",0,ROUND(SUMIF($F$9:$P$9,"&lt;&gt;",$F33:$P33),15-13*PO!$X$3))</f>
        <v>441</v>
      </c>
      <c r="F33" s="400">
        <f ca="1">OFFSET(PO!$P$12,ROW($E33)-ROW(F$12),0)</f>
        <v>441</v>
      </c>
      <c r="G33" s="400"/>
      <c r="H33" s="400"/>
      <c r="I33" s="400"/>
      <c r="J33" s="400"/>
      <c r="K33" s="400"/>
      <c r="L33" s="400"/>
      <c r="M33" s="400"/>
      <c r="N33" s="400"/>
      <c r="O33" s="400"/>
      <c r="U33" s="215"/>
    </row>
    <row r="34" spans="1:21" s="4" customFormat="1" x14ac:dyDescent="0.2">
      <c r="A34" s="128" t="str">
        <f ca="1">OFFSET(PO!J$12,ROW(A34)-ROW($A$12),0)</f>
        <v>Serviço</v>
      </c>
      <c r="B34" s="130" t="str">
        <f ca="1">IF($A34=0,"",OFFSET(PO!K$12,ROW(B34)-ROW(B$12),0))</f>
        <v>1.4.1.0.2.</v>
      </c>
      <c r="C34" s="127" t="str">
        <f ca="1">IF(OFFSET(PO!N$12,ROW(C34)-ROW(C$12),0)=0,"",OFFSET(PO!N$12,ROW(C34)-ROW(C$12),0))</f>
        <v>Lastro de concreto não estrutural impermeabilizado, E=6 cm</v>
      </c>
      <c r="D34" s="129" t="str">
        <f ca="1">IF(OFFSET(PO!O$12,ROW(D34)-ROW(D$12),0)=0,"",OFFSET(PO!O$12,ROW(D34)-ROW(D$12),0))</f>
        <v>M²</v>
      </c>
      <c r="E34" s="165">
        <f ca="1">IF($A34&lt;&gt;"Serviço",0,ROUND(SUMIF($F$9:$P$9,"&lt;&gt;",$F34:$P34),15-13*PO!$X$3))</f>
        <v>61.88</v>
      </c>
      <c r="F34" s="400">
        <f ca="1">OFFSET(PO!$P$12,ROW($E34)-ROW(F$12),0)</f>
        <v>61.88</v>
      </c>
      <c r="G34" s="400"/>
      <c r="H34" s="400"/>
      <c r="I34" s="400"/>
      <c r="J34" s="400"/>
      <c r="K34" s="400"/>
      <c r="L34" s="400"/>
      <c r="M34" s="400"/>
      <c r="N34" s="400"/>
      <c r="O34" s="400"/>
      <c r="U34" s="215"/>
    </row>
    <row r="35" spans="1:21" s="4" customFormat="1" ht="25.5" x14ac:dyDescent="0.2">
      <c r="A35" s="128" t="str">
        <f ca="1">OFFSET(PO!J$12,ROW(A35)-ROW($A$12),0)</f>
        <v>Serviço</v>
      </c>
      <c r="B35" s="130" t="str">
        <f ca="1">IF($A35=0,"",OFFSET(PO!K$12,ROW(B35)-ROW(B$12),0))</f>
        <v>1.4.1.0.3.</v>
      </c>
      <c r="C35" s="127" t="str">
        <f ca="1">IF(OFFSET(PO!N$12,ROW(C35)-ROW(C$12),0)=0,"",OFFSET(PO!N$12,ROW(C35)-ROW(C$12),0))</f>
        <v xml:space="preserve">Fôrma de madeira para fundação, com tábuas e sarrafos, 3 aproveitamentos e desforma </v>
      </c>
      <c r="D35" s="129" t="str">
        <f ca="1">IF(OFFSET(PO!O$12,ROW(D35)-ROW(D$12),0)=0,"",OFFSET(PO!O$12,ROW(D35)-ROW(D$12),0))</f>
        <v>M²</v>
      </c>
      <c r="E35" s="165">
        <f ca="1">IF($A35&lt;&gt;"Serviço",0,ROUND(SUMIF($F$9:$P$9,"&lt;&gt;",$F35:$P35),15-13*PO!$X$3))</f>
        <v>165.15</v>
      </c>
      <c r="F35" s="400">
        <f ca="1">OFFSET(PO!$P$12,ROW($E35)-ROW(F$12),0)</f>
        <v>165.15</v>
      </c>
      <c r="G35" s="400"/>
      <c r="H35" s="400"/>
      <c r="I35" s="400"/>
      <c r="J35" s="400"/>
      <c r="K35" s="400"/>
      <c r="L35" s="400"/>
      <c r="M35" s="400"/>
      <c r="N35" s="400"/>
      <c r="O35" s="400"/>
      <c r="U35" s="215"/>
    </row>
    <row r="36" spans="1:21" s="4" customFormat="1" x14ac:dyDescent="0.2">
      <c r="A36" s="128" t="str">
        <f ca="1">OFFSET(PO!J$12,ROW(A36)-ROW($A$12),0)</f>
        <v>Nível 3</v>
      </c>
      <c r="B36" s="130" t="str">
        <f ca="1">IF($A36=0,"",OFFSET(PO!K$12,ROW(B36)-ROW(B$12),0))</f>
        <v>1.4.2.</v>
      </c>
      <c r="C36" s="127" t="str">
        <f ca="1">IF(OFFSET(PO!N$12,ROW(C36)-ROW(C$12),0)=0,"",OFFSET(PO!N$12,ROW(C36)-ROW(C$12),0))</f>
        <v>CONCRETO ARMADO PARA FUNDAÇÕES - VIGAS BALDRAMES</v>
      </c>
      <c r="D36" s="129" t="str">
        <f ca="1">IF(OFFSET(PO!O$12,ROW(D36)-ROW(D$12),0)=0,"",OFFSET(PO!O$12,ROW(D36)-ROW(D$12),0))</f>
        <v/>
      </c>
      <c r="E36" s="165">
        <f ca="1">IF($A36&lt;&gt;"Serviço",0,ROUND(SUMIF($F$9:$P$9,"&lt;&gt;",$F36:$P36),15-13*PO!$X$3))</f>
        <v>0</v>
      </c>
      <c r="F36" s="400">
        <f ca="1">OFFSET(PO!$P$12,ROW($E36)-ROW(F$12),0)</f>
        <v>0</v>
      </c>
      <c r="G36" s="400"/>
      <c r="H36" s="400"/>
      <c r="I36" s="400"/>
      <c r="J36" s="400"/>
      <c r="K36" s="400"/>
      <c r="L36" s="400"/>
      <c r="M36" s="400"/>
      <c r="N36" s="400"/>
      <c r="O36" s="400"/>
      <c r="U36" s="215"/>
    </row>
    <row r="37" spans="1:21" s="4" customFormat="1" ht="25.5" x14ac:dyDescent="0.2">
      <c r="A37" s="128" t="str">
        <f ca="1">OFFSET(PO!J$12,ROW(A37)-ROW($A$12),0)</f>
        <v>Serviço</v>
      </c>
      <c r="B37" s="130" t="str">
        <f ca="1">IF($A37=0,"",OFFSET(PO!K$12,ROW(B37)-ROW(B$12),0))</f>
        <v>1.4.2.0.1.</v>
      </c>
      <c r="C37" s="127" t="str">
        <f ca="1">IF(OFFSET(PO!N$12,ROW(C37)-ROW(C$12),0)=0,"",OFFSET(PO!N$12,ROW(C37)-ROW(C$12),0))</f>
        <v xml:space="preserve">Fôrma de madeira para fundação, com tábuas e sarrafos, 3 aproveitamentos e desforma </v>
      </c>
      <c r="D37" s="129" t="str">
        <f ca="1">IF(OFFSET(PO!O$12,ROW(D37)-ROW(D$12),0)=0,"",OFFSET(PO!O$12,ROW(D37)-ROW(D$12),0))</f>
        <v>M²</v>
      </c>
      <c r="E37" s="165">
        <f ca="1">IF($A37&lt;&gt;"Serviço",0,ROUND(SUMIF($F$9:$P$9,"&lt;&gt;",$F37:$P37),15-13*PO!$X$3))</f>
        <v>463.48</v>
      </c>
      <c r="F37" s="400">
        <f ca="1">OFFSET(PO!$P$12,ROW($E37)-ROW(F$12),0)</f>
        <v>463.48</v>
      </c>
      <c r="G37" s="400"/>
      <c r="H37" s="400"/>
      <c r="I37" s="400"/>
      <c r="J37" s="400"/>
      <c r="K37" s="400"/>
      <c r="L37" s="400"/>
      <c r="M37" s="400"/>
      <c r="N37" s="400"/>
      <c r="O37" s="400"/>
      <c r="U37" s="215"/>
    </row>
    <row r="38" spans="1:21" s="4" customFormat="1" x14ac:dyDescent="0.2">
      <c r="A38" s="128" t="str">
        <f ca="1">OFFSET(PO!J$12,ROW(A38)-ROW($A$12),0)</f>
        <v>Serviço</v>
      </c>
      <c r="B38" s="130" t="str">
        <f ca="1">IF($A38=0,"",OFFSET(PO!K$12,ROW(B38)-ROW(B$12),0))</f>
        <v>1.4.2.0.2.</v>
      </c>
      <c r="C38" s="127" t="str">
        <f ca="1">IF(OFFSET(PO!N$12,ROW(C38)-ROW(C$12),0)=0,"",OFFSET(PO!N$12,ROW(C38)-ROW(C$12),0))</f>
        <v xml:space="preserve">Armadura de aço, CA 50, corte e dobra no canteiro                                                                                                                    </v>
      </c>
      <c r="D38" s="129" t="str">
        <f ca="1">IF(OFFSET(PO!O$12,ROW(D38)-ROW(D$12),0)=0,"",OFFSET(PO!O$12,ROW(D38)-ROW(D$12),0))</f>
        <v>KG</v>
      </c>
      <c r="E38" s="165">
        <f ca="1">IF($A38&lt;&gt;"Serviço",0,ROUND(SUMIF($F$9:$P$9,"&lt;&gt;",$F38:$P38),15-13*PO!$X$3))</f>
        <v>1326.37</v>
      </c>
      <c r="F38" s="400">
        <f ca="1">OFFSET(PO!$P$12,ROW($E38)-ROW(F$12),0)</f>
        <v>1326.37</v>
      </c>
      <c r="G38" s="400"/>
      <c r="H38" s="400"/>
      <c r="I38" s="400"/>
      <c r="J38" s="400"/>
      <c r="K38" s="400"/>
      <c r="L38" s="400"/>
      <c r="M38" s="400"/>
      <c r="N38" s="400"/>
      <c r="O38" s="400"/>
      <c r="U38" s="215"/>
    </row>
    <row r="39" spans="1:21" s="4" customFormat="1" ht="25.5" x14ac:dyDescent="0.2">
      <c r="A39" s="128" t="str">
        <f ca="1">OFFSET(PO!J$12,ROW(A39)-ROW($A$12),0)</f>
        <v>Serviço</v>
      </c>
      <c r="B39" s="130" t="str">
        <f ca="1">IF($A39=0,"",OFFSET(PO!K$12,ROW(B39)-ROW(B$12),0))</f>
        <v>1.4.2.0.3.</v>
      </c>
      <c r="C39" s="127" t="str">
        <f ca="1">IF(OFFSET(PO!N$12,ROW(C39)-ROW(C$12),0)=0,"",OFFSET(PO!N$12,ROW(C39)-ROW(C$12),0))</f>
        <v>Concreto estrutural virado no local, consistência para vibração, brita 1 e 2, FCK 25 MPA e lançamento em estrutura</v>
      </c>
      <c r="D39" s="129" t="str">
        <f ca="1">IF(OFFSET(PO!O$12,ROW(D39)-ROW(D$12),0)=0,"",OFFSET(PO!O$12,ROW(D39)-ROW(D$12),0))</f>
        <v>M3</v>
      </c>
      <c r="E39" s="165">
        <f ca="1">IF($A39&lt;&gt;"Serviço",0,ROUND(SUMIF($F$9:$P$9,"&lt;&gt;",$F39:$P39),15-13*PO!$X$3))</f>
        <v>26.87</v>
      </c>
      <c r="F39" s="400">
        <f ca="1">OFFSET(PO!$P$12,ROW($E39)-ROW(F$12),0)</f>
        <v>26.87</v>
      </c>
      <c r="G39" s="400"/>
      <c r="H39" s="400"/>
      <c r="I39" s="400"/>
      <c r="J39" s="400"/>
      <c r="K39" s="400"/>
      <c r="L39" s="400"/>
      <c r="M39" s="400"/>
      <c r="N39" s="400"/>
      <c r="O39" s="400"/>
      <c r="U39" s="215"/>
    </row>
    <row r="40" spans="1:21" s="4" customFormat="1" ht="25.5" x14ac:dyDescent="0.2">
      <c r="A40" s="128" t="str">
        <f ca="1">OFFSET(PO!J$12,ROW(A40)-ROW($A$12),0)</f>
        <v>Nível 3</v>
      </c>
      <c r="B40" s="130" t="str">
        <f ca="1">IF($A40=0,"",OFFSET(PO!K$12,ROW(B40)-ROW(B$12),0))</f>
        <v>1.4.3.</v>
      </c>
      <c r="C40" s="127" t="str">
        <f ca="1">IF(OFFSET(PO!N$12,ROW(C40)-ROW(C$12),0)=0,"",OFFSET(PO!N$12,ROW(C40)-ROW(C$12),0))</f>
        <v>CONCRETO ARMADO PARA FUNDAÇÕES - BASE DA CAIXA D'ÁGUA</v>
      </c>
      <c r="D40" s="129" t="str">
        <f ca="1">IF(OFFSET(PO!O$12,ROW(D40)-ROW(D$12),0)=0,"",OFFSET(PO!O$12,ROW(D40)-ROW(D$12),0))</f>
        <v/>
      </c>
      <c r="E40" s="165">
        <f ca="1">IF($A40&lt;&gt;"Serviço",0,ROUND(SUMIF($F$9:$P$9,"&lt;&gt;",$F40:$P40),15-13*PO!$X$3))</f>
        <v>0</v>
      </c>
      <c r="F40" s="400">
        <f ca="1">OFFSET(PO!$P$12,ROW($E40)-ROW(F$12),0)</f>
        <v>0</v>
      </c>
      <c r="G40" s="400"/>
      <c r="H40" s="400"/>
      <c r="I40" s="400"/>
      <c r="J40" s="400"/>
      <c r="K40" s="400"/>
      <c r="L40" s="400"/>
      <c r="M40" s="400"/>
      <c r="N40" s="400"/>
      <c r="O40" s="400"/>
      <c r="U40" s="215"/>
    </row>
    <row r="41" spans="1:21" s="4" customFormat="1" ht="25.5" x14ac:dyDescent="0.2">
      <c r="A41" s="128" t="str">
        <f ca="1">OFFSET(PO!J$12,ROW(A41)-ROW($A$12),0)</f>
        <v>Serviço</v>
      </c>
      <c r="B41" s="130" t="str">
        <f ca="1">IF($A41=0,"",OFFSET(PO!K$12,ROW(B41)-ROW(B$12),0))</f>
        <v>1.4.3.0.1.</v>
      </c>
      <c r="C41" s="127" t="str">
        <f ca="1">IF(OFFSET(PO!N$12,ROW(C41)-ROW(C$12),0)=0,"",OFFSET(PO!N$12,ROW(C41)-ROW(C$12),0))</f>
        <v xml:space="preserve">Fôrma de madeira para fundação, com tábuas e sarrafos, 3 aproveitamentos e desforma </v>
      </c>
      <c r="D41" s="129" t="str">
        <f ca="1">IF(OFFSET(PO!O$12,ROW(D41)-ROW(D$12),0)=0,"",OFFSET(PO!O$12,ROW(D41)-ROW(D$12),0))</f>
        <v>M²</v>
      </c>
      <c r="E41" s="165">
        <f ca="1">IF($A41&lt;&gt;"Serviço",0,ROUND(SUMIF($F$9:$P$9,"&lt;&gt;",$F41:$P41),15-13*PO!$X$3))</f>
        <v>5.6</v>
      </c>
      <c r="F41" s="400">
        <f ca="1">OFFSET(PO!$P$12,ROW($E41)-ROW(F$12),0)</f>
        <v>5.6</v>
      </c>
      <c r="G41" s="400"/>
      <c r="H41" s="400"/>
      <c r="I41" s="400"/>
      <c r="J41" s="400"/>
      <c r="K41" s="400"/>
      <c r="L41" s="400"/>
      <c r="M41" s="400"/>
      <c r="N41" s="400"/>
      <c r="O41" s="400"/>
      <c r="U41" s="215"/>
    </row>
    <row r="42" spans="1:21" s="4" customFormat="1" x14ac:dyDescent="0.2">
      <c r="A42" s="128" t="str">
        <f ca="1">OFFSET(PO!J$12,ROW(A42)-ROW($A$12),0)</f>
        <v>Serviço</v>
      </c>
      <c r="B42" s="130" t="str">
        <f ca="1">IF($A42=0,"",OFFSET(PO!K$12,ROW(B42)-ROW(B$12),0))</f>
        <v>1.4.3.0.2.</v>
      </c>
      <c r="C42" s="127" t="str">
        <f ca="1">IF(OFFSET(PO!N$12,ROW(C42)-ROW(C$12),0)=0,"",OFFSET(PO!N$12,ROW(C42)-ROW(C$12),0))</f>
        <v xml:space="preserve">Armadura de aço, CA 50, corte e dobra no canteiro                                                                                                                    </v>
      </c>
      <c r="D42" s="129" t="str">
        <f ca="1">IF(OFFSET(PO!O$12,ROW(D42)-ROW(D$12),0)=0,"",OFFSET(PO!O$12,ROW(D42)-ROW(D$12),0))</f>
        <v>KG</v>
      </c>
      <c r="E42" s="165">
        <f ca="1">IF($A42&lt;&gt;"Serviço",0,ROUND(SUMIF($F$9:$P$9,"&lt;&gt;",$F42:$P42),15-13*PO!$X$3))</f>
        <v>407</v>
      </c>
      <c r="F42" s="400">
        <f ca="1">OFFSET(PO!$P$12,ROW($E42)-ROW(F$12),0)</f>
        <v>407</v>
      </c>
      <c r="G42" s="400"/>
      <c r="H42" s="400"/>
      <c r="I42" s="400"/>
      <c r="J42" s="400"/>
      <c r="K42" s="400"/>
      <c r="L42" s="400"/>
      <c r="M42" s="400"/>
      <c r="N42" s="400"/>
      <c r="O42" s="400"/>
      <c r="U42" s="215"/>
    </row>
    <row r="43" spans="1:21" s="4" customFormat="1" ht="25.5" x14ac:dyDescent="0.2">
      <c r="A43" s="128" t="str">
        <f ca="1">OFFSET(PO!J$12,ROW(A43)-ROW($A$12),0)</f>
        <v>Serviço</v>
      </c>
      <c r="B43" s="130" t="str">
        <f ca="1">IF($A43=0,"",OFFSET(PO!K$12,ROW(B43)-ROW(B$12),0))</f>
        <v>1.4.3.0.3.</v>
      </c>
      <c r="C43" s="127" t="str">
        <f ca="1">IF(OFFSET(PO!N$12,ROW(C43)-ROW(C$12),0)=0,"",OFFSET(PO!N$12,ROW(C43)-ROW(C$12),0))</f>
        <v>Concreto estrutural virado no local, consistência para vibração, brita 1 e 2, FCK 25 MPA e lançamento em estrutura</v>
      </c>
      <c r="D43" s="129" t="str">
        <f ca="1">IF(OFFSET(PO!O$12,ROW(D43)-ROW(D$12),0)=0,"",OFFSET(PO!O$12,ROW(D43)-ROW(D$12),0))</f>
        <v>M3</v>
      </c>
      <c r="E43" s="165">
        <f ca="1">IF($A43&lt;&gt;"Serviço",0,ROUND(SUMIF($F$9:$P$9,"&lt;&gt;",$F43:$P43),15-13*PO!$X$3))</f>
        <v>3.92</v>
      </c>
      <c r="F43" s="400">
        <f ca="1">OFFSET(PO!$P$12,ROW($E43)-ROW(F$12),0)</f>
        <v>3.92</v>
      </c>
      <c r="G43" s="400"/>
      <c r="H43" s="400"/>
      <c r="I43" s="400"/>
      <c r="J43" s="400"/>
      <c r="K43" s="400"/>
      <c r="L43" s="400"/>
      <c r="M43" s="400"/>
      <c r="N43" s="400"/>
      <c r="O43" s="400"/>
      <c r="U43" s="215"/>
    </row>
    <row r="44" spans="1:21" s="4" customFormat="1" ht="25.5" x14ac:dyDescent="0.2">
      <c r="A44" s="128" t="str">
        <f ca="1">OFFSET(PO!J$12,ROW(A44)-ROW($A$12),0)</f>
        <v>Serviço</v>
      </c>
      <c r="B44" s="130" t="str">
        <f ca="1">IF($A44=0,"",OFFSET(PO!K$12,ROW(B44)-ROW(B$12),0))</f>
        <v>1.4.3.0.4.</v>
      </c>
      <c r="C44" s="127" t="str">
        <f ca="1">IF(OFFSET(PO!N$12,ROW(C44)-ROW(C$12),0)=0,"",OFFSET(PO!N$12,ROW(C44)-ROW(C$12),0))</f>
        <v>Execução de estaca broca c/ trado manual de 25 cm de diâmetro completa.</v>
      </c>
      <c r="D44" s="129" t="str">
        <f ca="1">IF(OFFSET(PO!O$12,ROW(D44)-ROW(D$12),0)=0,"",OFFSET(PO!O$12,ROW(D44)-ROW(D$12),0))</f>
        <v>M</v>
      </c>
      <c r="E44" s="165">
        <f ca="1">IF($A44&lt;&gt;"Serviço",0,ROUND(SUMIF($F$9:$P$9,"&lt;&gt;",$F44:$P44),15-13*PO!$X$3))</f>
        <v>63</v>
      </c>
      <c r="F44" s="400">
        <f ca="1">OFFSET(PO!$P$12,ROW($E44)-ROW(F$12),0)</f>
        <v>63</v>
      </c>
      <c r="G44" s="400"/>
      <c r="H44" s="400"/>
      <c r="I44" s="400"/>
      <c r="J44" s="400"/>
      <c r="K44" s="400"/>
      <c r="L44" s="400"/>
      <c r="M44" s="400"/>
      <c r="N44" s="400"/>
      <c r="O44" s="400"/>
      <c r="U44" s="215"/>
    </row>
    <row r="45" spans="1:21" s="4" customFormat="1" x14ac:dyDescent="0.2">
      <c r="A45" s="128" t="str">
        <f ca="1">OFFSET(PO!J$12,ROW(A45)-ROW($A$12),0)</f>
        <v>Nível 2</v>
      </c>
      <c r="B45" s="130" t="str">
        <f ca="1">IF($A45=0,"",OFFSET(PO!K$12,ROW(B45)-ROW(B$12),0))</f>
        <v>1.5.</v>
      </c>
      <c r="C45" s="127" t="str">
        <f ca="1">IF(OFFSET(PO!N$12,ROW(C45)-ROW(C$12),0)=0,"",OFFSET(PO!N$12,ROW(C45)-ROW(C$12),0))</f>
        <v>SUPERESTRUTURA</v>
      </c>
      <c r="D45" s="129" t="str">
        <f ca="1">IF(OFFSET(PO!O$12,ROW(D45)-ROW(D$12),0)=0,"",OFFSET(PO!O$12,ROW(D45)-ROW(D$12),0))</f>
        <v/>
      </c>
      <c r="E45" s="165">
        <f ca="1">IF($A45&lt;&gt;"Serviço",0,ROUND(SUMIF($F$9:$P$9,"&lt;&gt;",$F45:$P45),15-13*PO!$X$3))</f>
        <v>0</v>
      </c>
      <c r="F45" s="400">
        <f ca="1">OFFSET(PO!$P$12,ROW($E45)-ROW(F$12),0)</f>
        <v>0</v>
      </c>
      <c r="G45" s="400"/>
      <c r="H45" s="400"/>
      <c r="I45" s="400"/>
      <c r="J45" s="400"/>
      <c r="K45" s="400"/>
      <c r="L45" s="400"/>
      <c r="M45" s="400"/>
      <c r="N45" s="400"/>
      <c r="O45" s="400"/>
      <c r="U45" s="215"/>
    </row>
    <row r="46" spans="1:21" s="4" customFormat="1" x14ac:dyDescent="0.2">
      <c r="A46" s="128" t="str">
        <f ca="1">OFFSET(PO!J$12,ROW(A46)-ROW($A$12),0)</f>
        <v>Nível 3</v>
      </c>
      <c r="B46" s="130" t="str">
        <f ca="1">IF($A46=0,"",OFFSET(PO!K$12,ROW(B46)-ROW(B$12),0))</f>
        <v>1.5.1.</v>
      </c>
      <c r="C46" s="127" t="str">
        <f ca="1">IF(OFFSET(PO!N$12,ROW(C46)-ROW(C$12),0)=0,"",OFFSET(PO!N$12,ROW(C46)-ROW(C$12),0))</f>
        <v>CONCRETO ARMADO - VIGAS</v>
      </c>
      <c r="D46" s="129" t="str">
        <f ca="1">IF(OFFSET(PO!O$12,ROW(D46)-ROW(D$12),0)=0,"",OFFSET(PO!O$12,ROW(D46)-ROW(D$12),0))</f>
        <v/>
      </c>
      <c r="E46" s="165">
        <f ca="1">IF($A46&lt;&gt;"Serviço",0,ROUND(SUMIF($F$9:$P$9,"&lt;&gt;",$F46:$P46),15-13*PO!$X$3))</f>
        <v>0</v>
      </c>
      <c r="F46" s="400">
        <f ca="1">OFFSET(PO!$P$12,ROW($E46)-ROW(F$12),0)</f>
        <v>0</v>
      </c>
      <c r="G46" s="400"/>
      <c r="H46" s="400"/>
      <c r="I46" s="400"/>
      <c r="J46" s="400"/>
      <c r="K46" s="400"/>
      <c r="L46" s="400"/>
      <c r="M46" s="400"/>
      <c r="N46" s="400"/>
      <c r="O46" s="400"/>
      <c r="U46" s="215"/>
    </row>
    <row r="47" spans="1:21" s="4" customFormat="1" ht="25.5" x14ac:dyDescent="0.2">
      <c r="A47" s="128" t="str">
        <f ca="1">OFFSET(PO!J$12,ROW(A47)-ROW($A$12),0)</f>
        <v>Serviço</v>
      </c>
      <c r="B47" s="130" t="str">
        <f ca="1">IF($A47=0,"",OFFSET(PO!K$12,ROW(B47)-ROW(B$12),0))</f>
        <v>1.5.1.0.1.</v>
      </c>
      <c r="C47" s="127" t="str">
        <f ca="1">IF(OFFSET(PO!N$12,ROW(C47)-ROW(C$12),0)=0,"",OFFSET(PO!N$12,ROW(C47)-ROW(C$12),0))</f>
        <v>Fornecimento, transporte, execução de Fôrma  de madeira maciça, 3 aproveitamentos, inclusive desforma para VIGAS</v>
      </c>
      <c r="D47" s="129" t="str">
        <f ca="1">IF(OFFSET(PO!O$12,ROW(D47)-ROW(D$12),0)=0,"",OFFSET(PO!O$12,ROW(D47)-ROW(D$12),0))</f>
        <v>M²</v>
      </c>
      <c r="E47" s="165">
        <f ca="1">IF($A47&lt;&gt;"Serviço",0,ROUND(SUMIF($F$9:$P$9,"&lt;&gt;",$F47:$P47),15-13*PO!$X$3))</f>
        <v>453.62</v>
      </c>
      <c r="F47" s="400">
        <f ca="1">OFFSET(PO!$P$12,ROW($E47)-ROW(F$12),0)</f>
        <v>453.62</v>
      </c>
      <c r="G47" s="400"/>
      <c r="H47" s="400"/>
      <c r="I47" s="400"/>
      <c r="J47" s="400"/>
      <c r="K47" s="400"/>
      <c r="L47" s="400"/>
      <c r="M47" s="400"/>
      <c r="N47" s="400"/>
      <c r="O47" s="400"/>
      <c r="U47" s="215"/>
    </row>
    <row r="48" spans="1:21" s="4" customFormat="1" x14ac:dyDescent="0.2">
      <c r="A48" s="128" t="str">
        <f ca="1">OFFSET(PO!J$12,ROW(A48)-ROW($A$12),0)</f>
        <v>Serviço</v>
      </c>
      <c r="B48" s="130" t="str">
        <f ca="1">IF($A48=0,"",OFFSET(PO!K$12,ROW(B48)-ROW(B$12),0))</f>
        <v>1.5.1.0.2.</v>
      </c>
      <c r="C48" s="127" t="str">
        <f ca="1">IF(OFFSET(PO!N$12,ROW(C48)-ROW(C$12),0)=0,"",OFFSET(PO!N$12,ROW(C48)-ROW(C$12),0))</f>
        <v>Armadura de aço p/ vigas e pilares  CA-50, corte e dobra no canteiro</v>
      </c>
      <c r="D48" s="129" t="str">
        <f ca="1">IF(OFFSET(PO!O$12,ROW(D48)-ROW(D$12),0)=0,"",OFFSET(PO!O$12,ROW(D48)-ROW(D$12),0))</f>
        <v>KG</v>
      </c>
      <c r="E48" s="165">
        <f ca="1">IF($A48&lt;&gt;"Serviço",0,ROUND(SUMIF($F$9:$P$9,"&lt;&gt;",$F48:$P48),15-13*PO!$X$3))</f>
        <v>1310.3699999999999</v>
      </c>
      <c r="F48" s="400">
        <f ca="1">OFFSET(PO!$P$12,ROW($E48)-ROW(F$12),0)</f>
        <v>1310.3699999999999</v>
      </c>
      <c r="G48" s="400"/>
      <c r="H48" s="400"/>
      <c r="I48" s="400"/>
      <c r="J48" s="400"/>
      <c r="K48" s="400"/>
      <c r="L48" s="400"/>
      <c r="M48" s="400"/>
      <c r="N48" s="400"/>
      <c r="O48" s="400"/>
      <c r="U48" s="215"/>
    </row>
    <row r="49" spans="1:21" s="4" customFormat="1" ht="25.5" x14ac:dyDescent="0.2">
      <c r="A49" s="128" t="str">
        <f ca="1">OFFSET(PO!J$12,ROW(A49)-ROW($A$12),0)</f>
        <v>Serviço</v>
      </c>
      <c r="B49" s="130" t="str">
        <f ca="1">IF($A49=0,"",OFFSET(PO!K$12,ROW(B49)-ROW(B$12),0))</f>
        <v>1.5.1.0.3.</v>
      </c>
      <c r="C49" s="127" t="str">
        <f ca="1">IF(OFFSET(PO!N$12,ROW(C49)-ROW(C$12),0)=0,"",OFFSET(PO!N$12,ROW(C49)-ROW(C$12),0))</f>
        <v>Concreto estrutural virado no local, consistência para vibração, brita 1 e 2, FCK 25 MPA e lançamento em estrutura</v>
      </c>
      <c r="D49" s="129" t="str">
        <f ca="1">IF(OFFSET(PO!O$12,ROW(D49)-ROW(D$12),0)=0,"",OFFSET(PO!O$12,ROW(D49)-ROW(D$12),0))</f>
        <v>M3</v>
      </c>
      <c r="E49" s="165">
        <f ca="1">IF($A49&lt;&gt;"Serviço",0,ROUND(SUMIF($F$9:$P$9,"&lt;&gt;",$F49:$P49),15-13*PO!$X$3))</f>
        <v>27.81</v>
      </c>
      <c r="F49" s="400">
        <f ca="1">OFFSET(PO!$P$12,ROW($E49)-ROW(F$12),0)</f>
        <v>27.81</v>
      </c>
      <c r="G49" s="400"/>
      <c r="H49" s="400"/>
      <c r="I49" s="400"/>
      <c r="J49" s="400"/>
      <c r="K49" s="400"/>
      <c r="L49" s="400"/>
      <c r="M49" s="400"/>
      <c r="N49" s="400"/>
      <c r="O49" s="400"/>
      <c r="U49" s="215"/>
    </row>
    <row r="50" spans="1:21" s="4" customFormat="1" x14ac:dyDescent="0.2">
      <c r="A50" s="128" t="str">
        <f ca="1">OFFSET(PO!J$12,ROW(A50)-ROW($A$12),0)</f>
        <v>Nível 3</v>
      </c>
      <c r="B50" s="130" t="str">
        <f ca="1">IF($A50=0,"",OFFSET(PO!K$12,ROW(B50)-ROW(B$12),0))</f>
        <v>1.5.2.</v>
      </c>
      <c r="C50" s="127" t="str">
        <f ca="1">IF(OFFSET(PO!N$12,ROW(C50)-ROW(C$12),0)=0,"",OFFSET(PO!N$12,ROW(C50)-ROW(C$12),0))</f>
        <v>CONCRETO ARMADO - LAJES E PILARES</v>
      </c>
      <c r="D50" s="129" t="str">
        <f ca="1">IF(OFFSET(PO!O$12,ROW(D50)-ROW(D$12),0)=0,"",OFFSET(PO!O$12,ROW(D50)-ROW(D$12),0))</f>
        <v/>
      </c>
      <c r="E50" s="165">
        <f ca="1">IF($A50&lt;&gt;"Serviço",0,ROUND(SUMIF($F$9:$P$9,"&lt;&gt;",$F50:$P50),15-13*PO!$X$3))</f>
        <v>0</v>
      </c>
      <c r="F50" s="400">
        <f ca="1">OFFSET(PO!$P$12,ROW($E50)-ROW(F$12),0)</f>
        <v>0</v>
      </c>
      <c r="G50" s="400"/>
      <c r="H50" s="400"/>
      <c r="I50" s="400"/>
      <c r="J50" s="400"/>
      <c r="K50" s="400"/>
      <c r="L50" s="400"/>
      <c r="M50" s="400"/>
      <c r="N50" s="400"/>
      <c r="O50" s="400"/>
      <c r="U50" s="215"/>
    </row>
    <row r="51" spans="1:21" s="4" customFormat="1" ht="25.5" x14ac:dyDescent="0.2">
      <c r="A51" s="128" t="str">
        <f ca="1">OFFSET(PO!J$12,ROW(A51)-ROW($A$12),0)</f>
        <v>Serviço</v>
      </c>
      <c r="B51" s="130" t="str">
        <f ca="1">IF($A51=0,"",OFFSET(PO!K$12,ROW(B51)-ROW(B$12),0))</f>
        <v>1.5.2.0.1.</v>
      </c>
      <c r="C51" s="127" t="str">
        <f ca="1">IF(OFFSET(PO!N$12,ROW(C51)-ROW(C$12),0)=0,"",OFFSET(PO!N$12,ROW(C51)-ROW(C$12),0))</f>
        <v>Fornecimento, transporte, execução de Fôrma  de madeira maciça, 3 aproveitamentos, inclusive desforma para PILARES</v>
      </c>
      <c r="D51" s="129" t="str">
        <f ca="1">IF(OFFSET(PO!O$12,ROW(D51)-ROW(D$12),0)=0,"",OFFSET(PO!O$12,ROW(D51)-ROW(D$12),0))</f>
        <v>M²</v>
      </c>
      <c r="E51" s="165">
        <f ca="1">IF($A51&lt;&gt;"Serviço",0,ROUND(SUMIF($F$9:$P$9,"&lt;&gt;",$F51:$P51),15-13*PO!$X$3))</f>
        <v>319.27</v>
      </c>
      <c r="F51" s="400">
        <f ca="1">OFFSET(PO!$P$12,ROW($E51)-ROW(F$12),0)</f>
        <v>319.27</v>
      </c>
      <c r="G51" s="400"/>
      <c r="H51" s="400"/>
      <c r="I51" s="400"/>
      <c r="J51" s="400"/>
      <c r="K51" s="400"/>
      <c r="L51" s="400"/>
      <c r="M51" s="400"/>
      <c r="N51" s="400"/>
      <c r="O51" s="400"/>
      <c r="U51" s="215"/>
    </row>
    <row r="52" spans="1:21" s="4" customFormat="1" x14ac:dyDescent="0.2">
      <c r="A52" s="128" t="str">
        <f ca="1">OFFSET(PO!J$12,ROW(A52)-ROW($A$12),0)</f>
        <v>Serviço</v>
      </c>
      <c r="B52" s="130" t="str">
        <f ca="1">IF($A52=0,"",OFFSET(PO!K$12,ROW(B52)-ROW(B$12),0))</f>
        <v>1.5.2.0.2.</v>
      </c>
      <c r="C52" s="127" t="str">
        <f ca="1">IF(OFFSET(PO!N$12,ROW(C52)-ROW(C$12),0)=0,"",OFFSET(PO!N$12,ROW(C52)-ROW(C$12),0))</f>
        <v>Armadura de aço p/ vigas e pilares  CA-50, corte e dobra no canteiro</v>
      </c>
      <c r="D52" s="129" t="str">
        <f ca="1">IF(OFFSET(PO!O$12,ROW(D52)-ROW(D$12),0)=0,"",OFFSET(PO!O$12,ROW(D52)-ROW(D$12),0))</f>
        <v>KG</v>
      </c>
      <c r="E52" s="165">
        <f ca="1">IF($A52&lt;&gt;"Serviço",0,ROUND(SUMIF($F$9:$P$9,"&lt;&gt;",$F52:$P52),15-13*PO!$X$3))</f>
        <v>1570.91</v>
      </c>
      <c r="F52" s="400">
        <f ca="1">OFFSET(PO!$P$12,ROW($E52)-ROW(F$12),0)</f>
        <v>1570.91</v>
      </c>
      <c r="G52" s="400"/>
      <c r="H52" s="400"/>
      <c r="I52" s="400"/>
      <c r="J52" s="400"/>
      <c r="K52" s="400"/>
      <c r="L52" s="400"/>
      <c r="M52" s="400"/>
      <c r="N52" s="400"/>
      <c r="O52" s="400"/>
      <c r="U52" s="215"/>
    </row>
    <row r="53" spans="1:21" s="4" customFormat="1" ht="25.5" x14ac:dyDescent="0.2">
      <c r="A53" s="128" t="str">
        <f ca="1">OFFSET(PO!J$12,ROW(A53)-ROW($A$12),0)</f>
        <v>Serviço</v>
      </c>
      <c r="B53" s="130" t="str">
        <f ca="1">IF($A53=0,"",OFFSET(PO!K$12,ROW(B53)-ROW(B$12),0))</f>
        <v>1.5.2.0.3.</v>
      </c>
      <c r="C53" s="127" t="str">
        <f ca="1">IF(OFFSET(PO!N$12,ROW(C53)-ROW(C$12),0)=0,"",OFFSET(PO!N$12,ROW(C53)-ROW(C$12),0))</f>
        <v>Concreto estrutural virado no local, consistência para vibração, brita 1 e 2, FCK 25 MPA e lançamento em estrutura</v>
      </c>
      <c r="D53" s="129" t="str">
        <f ca="1">IF(OFFSET(PO!O$12,ROW(D53)-ROW(D$12),0)=0,"",OFFSET(PO!O$12,ROW(D53)-ROW(D$12),0))</f>
        <v>M³</v>
      </c>
      <c r="E53" s="165">
        <f ca="1">IF($A53&lt;&gt;"Serviço",0,ROUND(SUMIF($F$9:$P$9,"&lt;&gt;",$F53:$P53),15-13*PO!$X$3))</f>
        <v>16.149999999999999</v>
      </c>
      <c r="F53" s="400">
        <f ca="1">OFFSET(PO!$P$12,ROW($E53)-ROW(F$12),0)</f>
        <v>16.149999999999999</v>
      </c>
      <c r="G53" s="400"/>
      <c r="H53" s="400"/>
      <c r="I53" s="400"/>
      <c r="J53" s="400"/>
      <c r="K53" s="400"/>
      <c r="L53" s="400"/>
      <c r="M53" s="400"/>
      <c r="N53" s="400"/>
      <c r="O53" s="400"/>
      <c r="U53" s="215"/>
    </row>
    <row r="54" spans="1:21" s="4" customFormat="1" x14ac:dyDescent="0.2">
      <c r="A54" s="128" t="str">
        <f ca="1">OFFSET(PO!J$12,ROW(A54)-ROW($A$12),0)</f>
        <v>Nível 3</v>
      </c>
      <c r="B54" s="130" t="str">
        <f ca="1">IF($A54=0,"",OFFSET(PO!K$12,ROW(B54)-ROW(B$12),0))</f>
        <v>1.5.3.</v>
      </c>
      <c r="C54" s="127" t="str">
        <f ca="1">IF(OFFSET(PO!N$12,ROW(C54)-ROW(C$12),0)=0,"",OFFSET(PO!N$12,ROW(C54)-ROW(C$12),0))</f>
        <v>CONCRETO ARMADO - LAJES DE FORRO</v>
      </c>
      <c r="D54" s="129" t="str">
        <f ca="1">IF(OFFSET(PO!O$12,ROW(D54)-ROW(D$12),0)=0,"",OFFSET(PO!O$12,ROW(D54)-ROW(D$12),0))</f>
        <v/>
      </c>
      <c r="E54" s="165">
        <f ca="1">IF($A54&lt;&gt;"Serviço",0,ROUND(SUMIF($F$9:$P$9,"&lt;&gt;",$F54:$P54),15-13*PO!$X$3))</f>
        <v>0</v>
      </c>
      <c r="F54" s="400">
        <f ca="1">OFFSET(PO!$P$12,ROW($E54)-ROW(F$12),0)</f>
        <v>0</v>
      </c>
      <c r="G54" s="400"/>
      <c r="H54" s="400"/>
      <c r="I54" s="400"/>
      <c r="J54" s="400"/>
      <c r="K54" s="400"/>
      <c r="L54" s="400"/>
      <c r="M54" s="400"/>
      <c r="N54" s="400"/>
      <c r="O54" s="400"/>
      <c r="U54" s="215"/>
    </row>
    <row r="55" spans="1:21" s="4" customFormat="1" ht="38.25" x14ac:dyDescent="0.2">
      <c r="A55" s="128" t="str">
        <f ca="1">OFFSET(PO!J$12,ROW(A55)-ROW($A$12),0)</f>
        <v>Serviço</v>
      </c>
      <c r="B55" s="130" t="str">
        <f ca="1">IF($A55=0,"",OFFSET(PO!K$12,ROW(B55)-ROW(B$12),0))</f>
        <v>1.5.3.0.1.</v>
      </c>
      <c r="C55" s="127" t="str">
        <f ca="1">IF(OFFSET(PO!N$12,ROW(C55)-ROW(C$12),0)=0,"",OFFSET(PO!N$12,ROW(C55)-ROW(C$12),0))</f>
        <v>Laje pré-fabricada comum para forro, intereixo 38 cm e=12cm (capeamento 5 cm e elemento cerâmico 8 cm) sobrecarga mínima 100 Kgf / m²</v>
      </c>
      <c r="D55" s="129" t="str">
        <f ca="1">IF(OFFSET(PO!O$12,ROW(D55)-ROW(D$12),0)=0,"",OFFSET(PO!O$12,ROW(D55)-ROW(D$12),0))</f>
        <v>M²</v>
      </c>
      <c r="E55" s="165">
        <f ca="1">IF($A55&lt;&gt;"Serviço",0,ROUND(SUMIF($F$9:$P$9,"&lt;&gt;",$F55:$P55),15-13*PO!$X$3))</f>
        <v>647.46</v>
      </c>
      <c r="F55" s="400">
        <f ca="1">OFFSET(PO!$P$12,ROW($E55)-ROW(F$12),0)</f>
        <v>647.46</v>
      </c>
      <c r="G55" s="400"/>
      <c r="H55" s="400"/>
      <c r="I55" s="400"/>
      <c r="J55" s="400"/>
      <c r="K55" s="400"/>
      <c r="L55" s="400"/>
      <c r="M55" s="400"/>
      <c r="N55" s="400"/>
      <c r="O55" s="400"/>
      <c r="U55" s="215"/>
    </row>
    <row r="56" spans="1:21" s="4" customFormat="1" x14ac:dyDescent="0.2">
      <c r="A56" s="128" t="str">
        <f ca="1">OFFSET(PO!J$12,ROW(A56)-ROW($A$12),0)</f>
        <v>Nível 3</v>
      </c>
      <c r="B56" s="130" t="str">
        <f ca="1">IF($A56=0,"",OFFSET(PO!K$12,ROW(B56)-ROW(B$12),0))</f>
        <v>1.5.4.</v>
      </c>
      <c r="C56" s="127" t="str">
        <f ca="1">IF(OFFSET(PO!N$12,ROW(C56)-ROW(C$12),0)=0,"",OFFSET(PO!N$12,ROW(C56)-ROW(C$12),0))</f>
        <v>CONCRETO ARMADO - VERGAS E CONTRAVERGAS</v>
      </c>
      <c r="D56" s="129" t="str">
        <f ca="1">IF(OFFSET(PO!O$12,ROW(D56)-ROW(D$12),0)=0,"",OFFSET(PO!O$12,ROW(D56)-ROW(D$12),0))</f>
        <v/>
      </c>
      <c r="E56" s="165">
        <f ca="1">IF($A56&lt;&gt;"Serviço",0,ROUND(SUMIF($F$9:$P$9,"&lt;&gt;",$F56:$P56),15-13*PO!$X$3))</f>
        <v>0</v>
      </c>
      <c r="F56" s="400">
        <f ca="1">OFFSET(PO!$P$12,ROW($E56)-ROW(F$12),0)</f>
        <v>0</v>
      </c>
      <c r="G56" s="400"/>
      <c r="H56" s="400"/>
      <c r="I56" s="400"/>
      <c r="J56" s="400"/>
      <c r="K56" s="400"/>
      <c r="L56" s="400"/>
      <c r="M56" s="400"/>
      <c r="N56" s="400"/>
      <c r="O56" s="400"/>
      <c r="U56" s="215"/>
    </row>
    <row r="57" spans="1:21" s="4" customFormat="1" x14ac:dyDescent="0.2">
      <c r="A57" s="128" t="str">
        <f ca="1">OFFSET(PO!J$12,ROW(A57)-ROW($A$12),0)</f>
        <v>Serviço</v>
      </c>
      <c r="B57" s="130" t="str">
        <f ca="1">IF($A57=0,"",OFFSET(PO!K$12,ROW(B57)-ROW(B$12),0))</f>
        <v>1.5.4.0.1.</v>
      </c>
      <c r="C57" s="127" t="str">
        <f ca="1">IF(OFFSET(PO!N$12,ROW(C57)-ROW(C$12),0)=0,"",OFFSET(PO!N$12,ROW(C57)-ROW(C$12),0))</f>
        <v>Vergas ou contravergas retas em concreto armado Fck 20 Mpa</v>
      </c>
      <c r="D57" s="129" t="str">
        <f ca="1">IF(OFFSET(PO!O$12,ROW(D57)-ROW(D$12),0)=0,"",OFFSET(PO!O$12,ROW(D57)-ROW(D$12),0))</f>
        <v>M³</v>
      </c>
      <c r="E57" s="165">
        <f ca="1">IF($A57&lt;&gt;"Serviço",0,ROUND(SUMIF($F$9:$P$9,"&lt;&gt;",$F57:$P57),15-13*PO!$X$3))</f>
        <v>2.3199999999999998</v>
      </c>
      <c r="F57" s="400">
        <f ca="1">OFFSET(PO!$P$12,ROW($E57)-ROW(F$12),0)</f>
        <v>2.3199999999999998</v>
      </c>
      <c r="G57" s="400"/>
      <c r="H57" s="400"/>
      <c r="I57" s="400"/>
      <c r="J57" s="400"/>
      <c r="K57" s="400"/>
      <c r="L57" s="400"/>
      <c r="M57" s="400"/>
      <c r="N57" s="400"/>
      <c r="O57" s="400"/>
      <c r="U57" s="215"/>
    </row>
    <row r="58" spans="1:21" s="4" customFormat="1" x14ac:dyDescent="0.2">
      <c r="A58" s="128" t="str">
        <f ca="1">OFFSET(PO!J$12,ROW(A58)-ROW($A$12),0)</f>
        <v>Nível 2</v>
      </c>
      <c r="B58" s="130" t="str">
        <f ca="1">IF($A58=0,"",OFFSET(PO!K$12,ROW(B58)-ROW(B$12),0))</f>
        <v>1.6.</v>
      </c>
      <c r="C58" s="127" t="str">
        <f ca="1">IF(OFFSET(PO!N$12,ROW(C58)-ROW(C$12),0)=0,"",OFFSET(PO!N$12,ROW(C58)-ROW(C$12),0))</f>
        <v>SISTEMA DE VEDAÇÃO VERTICAL</v>
      </c>
      <c r="D58" s="129" t="str">
        <f ca="1">IF(OFFSET(PO!O$12,ROW(D58)-ROW(D$12),0)=0,"",OFFSET(PO!O$12,ROW(D58)-ROW(D$12),0))</f>
        <v/>
      </c>
      <c r="E58" s="165">
        <f ca="1">IF($A58&lt;&gt;"Serviço",0,ROUND(SUMIF($F$9:$P$9,"&lt;&gt;",$F58:$P58),15-13*PO!$X$3))</f>
        <v>0</v>
      </c>
      <c r="F58" s="400">
        <f ca="1">OFFSET(PO!$P$12,ROW($E58)-ROW(F$12),0)</f>
        <v>0</v>
      </c>
      <c r="G58" s="400"/>
      <c r="H58" s="400"/>
      <c r="I58" s="400"/>
      <c r="J58" s="400"/>
      <c r="K58" s="400"/>
      <c r="L58" s="400"/>
      <c r="M58" s="400"/>
      <c r="N58" s="400"/>
      <c r="O58" s="400"/>
      <c r="U58" s="215"/>
    </row>
    <row r="59" spans="1:21" s="4" customFormat="1" ht="38.25" x14ac:dyDescent="0.2">
      <c r="A59" s="128" t="str">
        <f ca="1">OFFSET(PO!J$12,ROW(A59)-ROW($A$12),0)</f>
        <v>Serviço</v>
      </c>
      <c r="B59" s="130" t="str">
        <f ca="1">IF($A59=0,"",OFFSET(PO!K$12,ROW(B59)-ROW(B$12),0))</f>
        <v>1.6.0.0.1.</v>
      </c>
      <c r="C59" s="127" t="str">
        <f ca="1">IF(OFFSET(PO!N$12,ROW(C59)-ROW(C$12),0)=0,"",OFFSET(PO!N$12,ROW(C59)-ROW(C$12),0))</f>
        <v>Alvenaria de vedação com bloco de concreto, 9x19x39 cm, espessura da parede 9 cm, juntas de 10mm com argamassa mista de cimento, cal hidratada e areia sem peneirar traço 1:0,5:8</v>
      </c>
      <c r="D59" s="129" t="str">
        <f ca="1">IF(OFFSET(PO!O$12,ROW(D59)-ROW(D$12),0)=0,"",OFFSET(PO!O$12,ROW(D59)-ROW(D$12),0))</f>
        <v>M2</v>
      </c>
      <c r="E59" s="165">
        <f ca="1">IF($A59&lt;&gt;"Serviço",0,ROUND(SUMIF($F$9:$P$9,"&lt;&gt;",$F59:$P59),15-13*PO!$X$3))</f>
        <v>973.09</v>
      </c>
      <c r="F59" s="400">
        <f ca="1">OFFSET(PO!$P$12,ROW($E59)-ROW(F$12),0)</f>
        <v>973.08999999999992</v>
      </c>
      <c r="G59" s="400"/>
      <c r="H59" s="400"/>
      <c r="I59" s="400"/>
      <c r="J59" s="400"/>
      <c r="K59" s="400"/>
      <c r="L59" s="400"/>
      <c r="M59" s="400"/>
      <c r="N59" s="400"/>
      <c r="O59" s="400"/>
      <c r="U59" s="215"/>
    </row>
    <row r="60" spans="1:21" s="4" customFormat="1" ht="25.5" x14ac:dyDescent="0.2">
      <c r="A60" s="128" t="str">
        <f ca="1">OFFSET(PO!J$12,ROW(A60)-ROW($A$12),0)</f>
        <v>Serviço</v>
      </c>
      <c r="B60" s="130" t="str">
        <f ca="1">IF($A60=0,"",OFFSET(PO!K$12,ROW(B60)-ROW(B$12),0))</f>
        <v>1.6.0.0.2.</v>
      </c>
      <c r="C60" s="127" t="str">
        <f ca="1">IF(OFFSET(PO!N$12,ROW(C60)-ROW(C$12),0)=0,"",OFFSET(PO!N$12,ROW(C60)-ROW(C$12),0))</f>
        <v>Divisória de granito cinza andorinha (incluindo todas as ferragens em latão cromado), e = 3cm</v>
      </c>
      <c r="D60" s="129" t="str">
        <f ca="1">IF(OFFSET(PO!O$12,ROW(D60)-ROW(D$12),0)=0,"",OFFSET(PO!O$12,ROW(D60)-ROW(D$12),0))</f>
        <v>M2</v>
      </c>
      <c r="E60" s="165">
        <f ca="1">IF($A60&lt;&gt;"Serviço",0,ROUND(SUMIF($F$9:$P$9,"&lt;&gt;",$F60:$P60),15-13*PO!$X$3))</f>
        <v>12.92</v>
      </c>
      <c r="F60" s="400">
        <f ca="1">OFFSET(PO!$P$12,ROW($E60)-ROW(F$12),0)</f>
        <v>12.92</v>
      </c>
      <c r="G60" s="400"/>
      <c r="H60" s="400"/>
      <c r="I60" s="400"/>
      <c r="J60" s="400"/>
      <c r="K60" s="400"/>
      <c r="L60" s="400"/>
      <c r="M60" s="400"/>
      <c r="N60" s="400"/>
      <c r="O60" s="400"/>
      <c r="U60" s="215"/>
    </row>
    <row r="61" spans="1:21" s="4" customFormat="1" x14ac:dyDescent="0.2">
      <c r="A61" s="128" t="str">
        <f ca="1">OFFSET(PO!J$12,ROW(A61)-ROW($A$12),0)</f>
        <v>Nível 2</v>
      </c>
      <c r="B61" s="130" t="str">
        <f ca="1">IF($A61=0,"",OFFSET(PO!K$12,ROW(B61)-ROW(B$12),0))</f>
        <v>1.7.</v>
      </c>
      <c r="C61" s="127" t="str">
        <f ca="1">IF(OFFSET(PO!N$12,ROW(C61)-ROW(C$12),0)=0,"",OFFSET(PO!N$12,ROW(C61)-ROW(C$12),0))</f>
        <v>ESQUADRIAS</v>
      </c>
      <c r="D61" s="129" t="str">
        <f ca="1">IF(OFFSET(PO!O$12,ROW(D61)-ROW(D$12),0)=0,"",OFFSET(PO!O$12,ROW(D61)-ROW(D$12),0))</f>
        <v/>
      </c>
      <c r="E61" s="165">
        <f ca="1">IF($A61&lt;&gt;"Serviço",0,ROUND(SUMIF($F$9:$P$9,"&lt;&gt;",$F61:$P61),15-13*PO!$X$3))</f>
        <v>0</v>
      </c>
      <c r="F61" s="400">
        <f ca="1">OFFSET(PO!$P$12,ROW($E61)-ROW(F$12),0)</f>
        <v>0</v>
      </c>
      <c r="G61" s="400"/>
      <c r="H61" s="400"/>
      <c r="I61" s="400"/>
      <c r="J61" s="400"/>
      <c r="K61" s="400"/>
      <c r="L61" s="400"/>
      <c r="M61" s="400"/>
      <c r="N61" s="400"/>
      <c r="O61" s="400"/>
      <c r="U61" s="215"/>
    </row>
    <row r="62" spans="1:21" s="4" customFormat="1" x14ac:dyDescent="0.2">
      <c r="A62" s="128" t="str">
        <f ca="1">OFFSET(PO!J$12,ROW(A62)-ROW($A$12),0)</f>
        <v>Nível 3</v>
      </c>
      <c r="B62" s="130" t="str">
        <f ca="1">IF($A62=0,"",OFFSET(PO!K$12,ROW(B62)-ROW(B$12),0))</f>
        <v>1.7.1.</v>
      </c>
      <c r="C62" s="127" t="str">
        <f ca="1">IF(OFFSET(PO!N$12,ROW(C62)-ROW(C$12),0)=0,"",OFFSET(PO!N$12,ROW(C62)-ROW(C$12),0))</f>
        <v>PORTAS DE MADEIRA</v>
      </c>
      <c r="D62" s="129" t="str">
        <f ca="1">IF(OFFSET(PO!O$12,ROW(D62)-ROW(D$12),0)=0,"",OFFSET(PO!O$12,ROW(D62)-ROW(D$12),0))</f>
        <v/>
      </c>
      <c r="E62" s="165">
        <f ca="1">IF($A62&lt;&gt;"Serviço",0,ROUND(SUMIF($F$9:$P$9,"&lt;&gt;",$F62:$P62),15-13*PO!$X$3))</f>
        <v>0</v>
      </c>
      <c r="F62" s="400">
        <f ca="1">OFFSET(PO!$P$12,ROW($E62)-ROW(F$12),0)</f>
        <v>0</v>
      </c>
      <c r="G62" s="400"/>
      <c r="H62" s="400"/>
      <c r="I62" s="400"/>
      <c r="J62" s="400"/>
      <c r="K62" s="400"/>
      <c r="L62" s="400"/>
      <c r="M62" s="400"/>
      <c r="N62" s="400"/>
      <c r="O62" s="400"/>
      <c r="U62" s="215"/>
    </row>
    <row r="63" spans="1:21" s="4" customFormat="1" ht="25.5" x14ac:dyDescent="0.2">
      <c r="A63" s="128" t="str">
        <f ca="1">OFFSET(PO!J$12,ROW(A63)-ROW($A$12),0)</f>
        <v>Serviço</v>
      </c>
      <c r="B63" s="130" t="str">
        <f ca="1">IF($A63=0,"",OFFSET(PO!K$12,ROW(B63)-ROW(B$12),0))</f>
        <v>1.7.1.0.1.</v>
      </c>
      <c r="C63" s="127" t="str">
        <f ca="1">IF(OFFSET(PO!N$12,ROW(C63)-ROW(C$12),0)=0,"",OFFSET(PO!N$12,ROW(C63)-ROW(C$12),0))</f>
        <v>Porta interna de madeira, colocação e acabamento, de uma folha com batente, guarnição e ferragem, 0,80x2,10m (porta completa)</v>
      </c>
      <c r="D63" s="129" t="str">
        <f ca="1">IF(OFFSET(PO!O$12,ROW(D63)-ROW(D$12),0)=0,"",OFFSET(PO!O$12,ROW(D63)-ROW(D$12),0))</f>
        <v>UND</v>
      </c>
      <c r="E63" s="165">
        <f ca="1">IF($A63&lt;&gt;"Serviço",0,ROUND(SUMIF($F$9:$P$9,"&lt;&gt;",$F63:$P63),15-13*PO!$X$3))</f>
        <v>21</v>
      </c>
      <c r="F63" s="400">
        <f ca="1">OFFSET(PO!$P$12,ROW($E63)-ROW(F$12),0)</f>
        <v>21</v>
      </c>
      <c r="G63" s="400"/>
      <c r="H63" s="400"/>
      <c r="I63" s="400"/>
      <c r="J63" s="400"/>
      <c r="K63" s="400"/>
      <c r="L63" s="400"/>
      <c r="M63" s="400"/>
      <c r="N63" s="400"/>
      <c r="O63" s="400"/>
      <c r="U63" s="215"/>
    </row>
    <row r="64" spans="1:21" s="4" customFormat="1" ht="25.5" x14ac:dyDescent="0.2">
      <c r="A64" s="128" t="str">
        <f ca="1">OFFSET(PO!J$12,ROW(A64)-ROW($A$12),0)</f>
        <v>Serviço</v>
      </c>
      <c r="B64" s="130" t="str">
        <f ca="1">IF($A64=0,"",OFFSET(PO!K$12,ROW(B64)-ROW(B$12),0))</f>
        <v>1.7.1.0.2.</v>
      </c>
      <c r="C64" s="127" t="str">
        <f ca="1">IF(OFFSET(PO!N$12,ROW(C64)-ROW(C$12),0)=0,"",OFFSET(PO!N$12,ROW(C64)-ROW(C$12),0))</f>
        <v xml:space="preserve">Porta interna de madeira, colocação e acabamento, de uma folha com batente, guarnição e ferragem, 0,60x2,10m (porta completa) </v>
      </c>
      <c r="D64" s="129" t="str">
        <f ca="1">IF(OFFSET(PO!O$12,ROW(D64)-ROW(D$12),0)=0,"",OFFSET(PO!O$12,ROW(D64)-ROW(D$12),0))</f>
        <v>UND</v>
      </c>
      <c r="E64" s="165">
        <f ca="1">IF($A64&lt;&gt;"Serviço",0,ROUND(SUMIF($F$9:$P$9,"&lt;&gt;",$F64:$P64),15-13*PO!$X$3))</f>
        <v>4</v>
      </c>
      <c r="F64" s="400">
        <f ca="1">OFFSET(PO!$P$12,ROW($E64)-ROW(F$12),0)</f>
        <v>4</v>
      </c>
      <c r="G64" s="400"/>
      <c r="H64" s="400"/>
      <c r="I64" s="400"/>
      <c r="J64" s="400"/>
      <c r="K64" s="400"/>
      <c r="L64" s="400"/>
      <c r="M64" s="400"/>
      <c r="N64" s="400"/>
      <c r="O64" s="400"/>
      <c r="U64" s="215"/>
    </row>
    <row r="65" spans="1:21" s="4" customFormat="1" x14ac:dyDescent="0.2">
      <c r="A65" s="128" t="str">
        <f ca="1">OFFSET(PO!J$12,ROW(A65)-ROW($A$12),0)</f>
        <v>Nível 3</v>
      </c>
      <c r="B65" s="130" t="str">
        <f ca="1">IF($A65=0,"",OFFSET(PO!K$12,ROW(B65)-ROW(B$12),0))</f>
        <v>1.7.2.</v>
      </c>
      <c r="C65" s="127" t="str">
        <f ca="1">IF(OFFSET(PO!N$12,ROW(C65)-ROW(C$12),0)=0,"",OFFSET(PO!N$12,ROW(C65)-ROW(C$12),0))</f>
        <v>FERRAGEM E ACESSÓRIOS</v>
      </c>
      <c r="D65" s="129" t="str">
        <f ca="1">IF(OFFSET(PO!O$12,ROW(D65)-ROW(D$12),0)=0,"",OFFSET(PO!O$12,ROW(D65)-ROW(D$12),0))</f>
        <v/>
      </c>
      <c r="E65" s="165">
        <f ca="1">IF($A65&lt;&gt;"Serviço",0,ROUND(SUMIF($F$9:$P$9,"&lt;&gt;",$F65:$P65),15-13*PO!$X$3))</f>
        <v>0</v>
      </c>
      <c r="F65" s="400">
        <f ca="1">OFFSET(PO!$P$12,ROW($E65)-ROW(F$12),0)</f>
        <v>0</v>
      </c>
      <c r="G65" s="400"/>
      <c r="H65" s="400"/>
      <c r="I65" s="400"/>
      <c r="J65" s="400"/>
      <c r="K65" s="400"/>
      <c r="L65" s="400"/>
      <c r="M65" s="400"/>
      <c r="N65" s="400"/>
      <c r="O65" s="400"/>
      <c r="U65" s="215"/>
    </row>
    <row r="66" spans="1:21" s="4" customFormat="1" ht="25.5" x14ac:dyDescent="0.2">
      <c r="A66" s="128" t="str">
        <f ca="1">OFFSET(PO!J$12,ROW(A66)-ROW($A$12),0)</f>
        <v>Serviço</v>
      </c>
      <c r="B66" s="130" t="str">
        <f ca="1">IF($A66=0,"",OFFSET(PO!K$12,ROW(B66)-ROW(B$12),0))</f>
        <v>1.7.2.0.1.</v>
      </c>
      <c r="C66" s="127" t="str">
        <f ca="1">IF(OFFSET(PO!N$12,ROW(C66)-ROW(C$12),0)=0,"",OFFSET(PO!N$12,ROW(C66)-ROW(C$12),0))</f>
        <v>Barra apoio deficiente tubo em aço inox 1 1/4" L=80cm para apoio de lavatório</v>
      </c>
      <c r="D66" s="129" t="str">
        <f ca="1">IF(OFFSET(PO!O$12,ROW(D66)-ROW(D$12),0)=0,"",OFFSET(PO!O$12,ROW(D66)-ROW(D$12),0))</f>
        <v>UND</v>
      </c>
      <c r="E66" s="165">
        <f ca="1">IF($A66&lt;&gt;"Serviço",0,ROUND(SUMIF($F$9:$P$9,"&lt;&gt;",$F66:$P66),15-13*PO!$X$3))</f>
        <v>25</v>
      </c>
      <c r="F66" s="400">
        <f ca="1">OFFSET(PO!$P$12,ROW($E66)-ROW(F$12),0)</f>
        <v>25</v>
      </c>
      <c r="G66" s="400"/>
      <c r="H66" s="400"/>
      <c r="I66" s="400"/>
      <c r="J66" s="400"/>
      <c r="K66" s="400"/>
      <c r="L66" s="400"/>
      <c r="M66" s="400"/>
      <c r="N66" s="400"/>
      <c r="O66" s="400"/>
      <c r="U66" s="215"/>
    </row>
    <row r="67" spans="1:21" s="4" customFormat="1" ht="25.5" x14ac:dyDescent="0.2">
      <c r="A67" s="128" t="str">
        <f ca="1">OFFSET(PO!J$12,ROW(A67)-ROW($A$12),0)</f>
        <v>Serviço</v>
      </c>
      <c r="B67" s="130" t="str">
        <f ca="1">IF($A67=0,"",OFFSET(PO!K$12,ROW(B67)-ROW(B$12),0))</f>
        <v>1.7.2.0.2.</v>
      </c>
      <c r="C67" s="127" t="str">
        <f ca="1">IF(OFFSET(PO!N$12,ROW(C67)-ROW(C$12),0)=0,"",OFFSET(PO!N$12,ROW(C67)-ROW(C$12),0))</f>
        <v>Porta de alumínio sob encomenda, de abrir ou correr, colocação e acabamento com uma ou duas folhas</v>
      </c>
      <c r="D67" s="129" t="str">
        <f ca="1">IF(OFFSET(PO!O$12,ROW(D67)-ROW(D$12),0)=0,"",OFFSET(PO!O$12,ROW(D67)-ROW(D$12),0))</f>
        <v>M2</v>
      </c>
      <c r="E67" s="165">
        <f ca="1">IF($A67&lt;&gt;"Serviço",0,ROUND(SUMIF($F$9:$P$9,"&lt;&gt;",$F67:$P67),15-13*PO!$X$3))</f>
        <v>1.68</v>
      </c>
      <c r="F67" s="400">
        <f ca="1">OFFSET(PO!$P$12,ROW($E67)-ROW(F$12),0)</f>
        <v>1.68</v>
      </c>
      <c r="G67" s="400"/>
      <c r="H67" s="400"/>
      <c r="I67" s="400"/>
      <c r="J67" s="400"/>
      <c r="K67" s="400"/>
      <c r="L67" s="400"/>
      <c r="M67" s="400"/>
      <c r="N67" s="400"/>
      <c r="O67" s="400"/>
      <c r="U67" s="215"/>
    </row>
    <row r="68" spans="1:21" s="4" customFormat="1" ht="25.5" x14ac:dyDescent="0.2">
      <c r="A68" s="128" t="str">
        <f ca="1">OFFSET(PO!J$12,ROW(A68)-ROW($A$12),0)</f>
        <v>Serviço</v>
      </c>
      <c r="B68" s="130" t="str">
        <f ca="1">IF($A68=0,"",OFFSET(PO!K$12,ROW(B68)-ROW(B$12),0))</f>
        <v>1.7.2.0.3.</v>
      </c>
      <c r="C68" s="127" t="str">
        <f ca="1">IF(OFFSET(PO!N$12,ROW(C68)-ROW(C$12),0)=0,"",OFFSET(PO!N$12,ROW(C68)-ROW(C$12),0))</f>
        <v>Janela de alumínio sob encomenda, colocação e acabamento , basculante, com contramarcos.</v>
      </c>
      <c r="D68" s="129" t="str">
        <f ca="1">IF(OFFSET(PO!O$12,ROW(D68)-ROW(D$12),0)=0,"",OFFSET(PO!O$12,ROW(D68)-ROW(D$12),0))</f>
        <v>M2</v>
      </c>
      <c r="E68" s="165">
        <f ca="1">IF($A68&lt;&gt;"Serviço",0,ROUND(SUMIF($F$9:$P$9,"&lt;&gt;",$F68:$P68),15-13*PO!$X$3))</f>
        <v>99.44</v>
      </c>
      <c r="F68" s="400">
        <f ca="1">OFFSET(PO!$P$12,ROW($E68)-ROW(F$12),0)</f>
        <v>99.44</v>
      </c>
      <c r="G68" s="400"/>
      <c r="H68" s="400"/>
      <c r="I68" s="400"/>
      <c r="J68" s="400"/>
      <c r="K68" s="400"/>
      <c r="L68" s="400"/>
      <c r="M68" s="400"/>
      <c r="N68" s="400"/>
      <c r="O68" s="400"/>
      <c r="U68" s="215"/>
    </row>
    <row r="69" spans="1:21" s="4" customFormat="1" x14ac:dyDescent="0.2">
      <c r="A69" s="128" t="str">
        <f ca="1">OFFSET(PO!J$12,ROW(A69)-ROW($A$12),0)</f>
        <v>Serviço</v>
      </c>
      <c r="B69" s="130" t="str">
        <f ca="1">IF($A69=0,"",OFFSET(PO!K$12,ROW(B69)-ROW(B$12),0))</f>
        <v>1.7.2.0.4.</v>
      </c>
      <c r="C69" s="127" t="str">
        <f ca="1">IF(OFFSET(PO!N$12,ROW(C69)-ROW(C$12),0)=0,"",OFFSET(PO!N$12,ROW(C69)-ROW(C$12),0))</f>
        <v>Tela de nylon tipo mosquiteiro com moldura em madeira.</v>
      </c>
      <c r="D69" s="129" t="str">
        <f ca="1">IF(OFFSET(PO!O$12,ROW(D69)-ROW(D$12),0)=0,"",OFFSET(PO!O$12,ROW(D69)-ROW(D$12),0))</f>
        <v>M²</v>
      </c>
      <c r="E69" s="165">
        <f ca="1">IF($A69&lt;&gt;"Serviço",0,ROUND(SUMIF($F$9:$P$9,"&lt;&gt;",$F69:$P69),15-13*PO!$X$3))</f>
        <v>4.2</v>
      </c>
      <c r="F69" s="400">
        <f ca="1">OFFSET(PO!$P$12,ROW($E69)-ROW(F$12),0)</f>
        <v>4.2</v>
      </c>
      <c r="G69" s="400"/>
      <c r="H69" s="400"/>
      <c r="I69" s="400"/>
      <c r="J69" s="400"/>
      <c r="K69" s="400"/>
      <c r="L69" s="400"/>
      <c r="M69" s="400"/>
      <c r="N69" s="400"/>
      <c r="O69" s="400"/>
      <c r="U69" s="215"/>
    </row>
    <row r="70" spans="1:21" s="4" customFormat="1" ht="25.5" x14ac:dyDescent="0.2">
      <c r="A70" s="128" t="str">
        <f ca="1">OFFSET(PO!J$12,ROW(A70)-ROW($A$12),0)</f>
        <v>Serviço</v>
      </c>
      <c r="B70" s="130" t="str">
        <f ca="1">IF($A70=0,"",OFFSET(PO!K$12,ROW(B70)-ROW(B$12),0))</f>
        <v>1.7.2.0.5.</v>
      </c>
      <c r="C70" s="127" t="str">
        <f ca="1">IF(OFFSET(PO!N$12,ROW(C70)-ROW(C$12),0)=0,"",OFFSET(PO!N$12,ROW(C70)-ROW(C$12),0))</f>
        <v>Cristal comum liso, colocado em caixilho com ou sem baguetes, duas demãos de massa  e=4mm</v>
      </c>
      <c r="D70" s="129" t="str">
        <f ca="1">IF(OFFSET(PO!O$12,ROW(D70)-ROW(D$12),0)=0,"",OFFSET(PO!O$12,ROW(D70)-ROW(D$12),0))</f>
        <v>M²</v>
      </c>
      <c r="E70" s="165">
        <f ca="1">IF($A70&lt;&gt;"Serviço",0,ROUND(SUMIF($F$9:$P$9,"&lt;&gt;",$F70:$P70),15-13*PO!$X$3))</f>
        <v>1.98</v>
      </c>
      <c r="F70" s="400">
        <f ca="1">OFFSET(PO!$P$12,ROW($E70)-ROW(F$12),0)</f>
        <v>1.98</v>
      </c>
      <c r="G70" s="400"/>
      <c r="H70" s="400"/>
      <c r="I70" s="400"/>
      <c r="J70" s="400"/>
      <c r="K70" s="400"/>
      <c r="L70" s="400"/>
      <c r="M70" s="400"/>
      <c r="N70" s="400"/>
      <c r="O70" s="400"/>
      <c r="U70" s="215"/>
    </row>
    <row r="71" spans="1:21" s="4" customFormat="1" ht="38.25" x14ac:dyDescent="0.2">
      <c r="A71" s="128" t="str">
        <f ca="1">OFFSET(PO!J$12,ROW(A71)-ROW($A$12),0)</f>
        <v>Serviço</v>
      </c>
      <c r="B71" s="130" t="str">
        <f ca="1">IF($A71=0,"",OFFSET(PO!K$12,ROW(B71)-ROW(B$12),0))</f>
        <v>1.7.2.0.6.</v>
      </c>
      <c r="C71" s="127" t="str">
        <f ca="1">IF(OFFSET(PO!N$12,ROW(C71)-ROW(C$12),0)=0,"",OFFSET(PO!N$12,ROW(C71)-ROW(C$12),0))</f>
        <v>FABRICAÇÃO E INSTALAÇÃO DE TESOURA INTEIRA EM MADEIRA NÃO APARELHADA, VÃO DE 8 M, PARA TELHA CERÂMICA OU DE CONCRETO, INCLUSO IÇAMENTO.</v>
      </c>
      <c r="D71" s="129" t="str">
        <f ca="1">IF(OFFSET(PO!O$12,ROW(D71)-ROW(D$12),0)=0,"",OFFSET(PO!O$12,ROW(D71)-ROW(D$12),0))</f>
        <v>Und</v>
      </c>
      <c r="E71" s="165">
        <f ca="1">IF($A71&lt;&gt;"Serviço",0,ROUND(SUMIF($F$9:$P$9,"&lt;&gt;",$F71:$P71),15-13*PO!$X$3))</f>
        <v>23</v>
      </c>
      <c r="F71" s="400">
        <f ca="1">OFFSET(PO!$P$12,ROW($E71)-ROW(F$12),0)</f>
        <v>23</v>
      </c>
      <c r="G71" s="400"/>
      <c r="H71" s="400"/>
      <c r="I71" s="400"/>
      <c r="J71" s="400"/>
      <c r="K71" s="400"/>
      <c r="L71" s="400"/>
      <c r="M71" s="400"/>
      <c r="N71" s="400"/>
      <c r="O71" s="400"/>
      <c r="U71" s="215"/>
    </row>
    <row r="72" spans="1:21" s="4" customFormat="1" ht="38.25" x14ac:dyDescent="0.2">
      <c r="A72" s="128" t="str">
        <f ca="1">OFFSET(PO!J$12,ROW(A72)-ROW($A$12),0)</f>
        <v>Serviço</v>
      </c>
      <c r="B72" s="130" t="str">
        <f ca="1">IF($A72=0,"",OFFSET(PO!K$12,ROW(B72)-ROW(B$12),0))</f>
        <v>1.7.2.0.7.</v>
      </c>
      <c r="C72" s="127" t="str">
        <f ca="1">IF(OFFSET(PO!N$12,ROW(C72)-ROW(C$12),0)=0,"",OFFSET(PO!N$12,ROW(C72)-ROW(C$12),0))</f>
        <v>FABRICAÇÃO E INSTALAÇÃO DE TESOURA INTEIRA EM MADEIRA NÃO APARELHADA, VÃO DE 7 M, PARA TELHA CERÂMICA OU DE CONCRETO, INCLUSO IÇAMENTO.</v>
      </c>
      <c r="D72" s="129" t="str">
        <f ca="1">IF(OFFSET(PO!O$12,ROW(D72)-ROW(D$12),0)=0,"",OFFSET(PO!O$12,ROW(D72)-ROW(D$12),0))</f>
        <v>Und</v>
      </c>
      <c r="E72" s="165">
        <f ca="1">IF($A72&lt;&gt;"Serviço",0,ROUND(SUMIF($F$9:$P$9,"&lt;&gt;",$F72:$P72),15-13*PO!$X$3))</f>
        <v>10</v>
      </c>
      <c r="F72" s="400">
        <f ca="1">OFFSET(PO!$P$12,ROW($E72)-ROW(F$12),0)</f>
        <v>10</v>
      </c>
      <c r="G72" s="400"/>
      <c r="H72" s="400"/>
      <c r="I72" s="400"/>
      <c r="J72" s="400"/>
      <c r="K72" s="400"/>
      <c r="L72" s="400"/>
      <c r="M72" s="400"/>
      <c r="N72" s="400"/>
      <c r="O72" s="400"/>
      <c r="U72" s="215"/>
    </row>
    <row r="73" spans="1:21" s="4" customFormat="1" ht="38.25" x14ac:dyDescent="0.2">
      <c r="A73" s="128" t="str">
        <f ca="1">OFFSET(PO!J$12,ROW(A73)-ROW($A$12),0)</f>
        <v>Serviço</v>
      </c>
      <c r="B73" s="130" t="str">
        <f ca="1">IF($A73=0,"",OFFSET(PO!K$12,ROW(B73)-ROW(B$12),0))</f>
        <v>1.7.2.0.8.</v>
      </c>
      <c r="C73" s="127" t="str">
        <f ca="1">IF(OFFSET(PO!N$12,ROW(C73)-ROW(C$12),0)=0,"",OFFSET(PO!N$12,ROW(C73)-ROW(C$12),0))</f>
        <v>FABRICAÇÃO E INSTALAÇÃO DE TESOURA INTEIRA EM MADEIRA NÃO APARELHADA, VÃO DE 6 M, PARA TELHA CERÂMICA OU DE CONCRETO, INCLUSO IÇAMENTO.</v>
      </c>
      <c r="D73" s="129" t="str">
        <f ca="1">IF(OFFSET(PO!O$12,ROW(D73)-ROW(D$12),0)=0,"",OFFSET(PO!O$12,ROW(D73)-ROW(D$12),0))</f>
        <v>Und</v>
      </c>
      <c r="E73" s="165">
        <f ca="1">IF($A73&lt;&gt;"Serviço",0,ROUND(SUMIF($F$9:$P$9,"&lt;&gt;",$F73:$P73),15-13*PO!$X$3))</f>
        <v>6</v>
      </c>
      <c r="F73" s="400">
        <f ca="1">OFFSET(PO!$P$12,ROW($E73)-ROW(F$12),0)</f>
        <v>6</v>
      </c>
      <c r="G73" s="400"/>
      <c r="H73" s="400"/>
      <c r="I73" s="400"/>
      <c r="J73" s="400"/>
      <c r="K73" s="400"/>
      <c r="L73" s="400"/>
      <c r="M73" s="400"/>
      <c r="N73" s="400"/>
      <c r="O73" s="400"/>
      <c r="U73" s="215"/>
    </row>
    <row r="74" spans="1:21" s="4" customFormat="1" ht="38.25" x14ac:dyDescent="0.2">
      <c r="A74" s="128" t="str">
        <f ca="1">OFFSET(PO!J$12,ROW(A74)-ROW($A$12),0)</f>
        <v>Serviço</v>
      </c>
      <c r="B74" s="130" t="str">
        <f ca="1">IF($A74=0,"",OFFSET(PO!K$12,ROW(B74)-ROW(B$12),0))</f>
        <v>1.7.2.0.9.</v>
      </c>
      <c r="C74" s="127" t="str">
        <f ca="1">IF(OFFSET(PO!N$12,ROW(C74)-ROW(C$12),0)=0,"",OFFSET(PO!N$12,ROW(C74)-ROW(C$12),0))</f>
        <v>FABRICAÇÃO E INSTALAÇÃO DE TESOURA INTEIRA EM MADEIRA NÃO APARELHADA, VÃO DE 4 M, PARA TELHA CERÂMICA OU DE CONCRETO, INCLUSO IÇAMENTO.</v>
      </c>
      <c r="D74" s="129" t="str">
        <f ca="1">IF(OFFSET(PO!O$12,ROW(D74)-ROW(D$12),0)=0,"",OFFSET(PO!O$12,ROW(D74)-ROW(D$12),0))</f>
        <v>Und</v>
      </c>
      <c r="E74" s="165">
        <f ca="1">IF($A74&lt;&gt;"Serviço",0,ROUND(SUMIF($F$9:$P$9,"&lt;&gt;",$F74:$P74),15-13*PO!$X$3))</f>
        <v>6</v>
      </c>
      <c r="F74" s="400">
        <f ca="1">OFFSET(PO!$P$12,ROW($E74)-ROW(F$12),0)</f>
        <v>6</v>
      </c>
      <c r="G74" s="400"/>
      <c r="H74" s="400"/>
      <c r="I74" s="400"/>
      <c r="J74" s="400"/>
      <c r="K74" s="400"/>
      <c r="L74" s="400"/>
      <c r="M74" s="400"/>
      <c r="N74" s="400"/>
      <c r="O74" s="400"/>
      <c r="U74" s="215"/>
    </row>
    <row r="75" spans="1:21" s="4" customFormat="1" ht="51" x14ac:dyDescent="0.2">
      <c r="A75" s="128" t="str">
        <f ca="1">OFFSET(PO!J$12,ROW(A75)-ROW($A$12),0)</f>
        <v>Serviço</v>
      </c>
      <c r="B75" s="130" t="str">
        <f ca="1">IF($A75=0,"",OFFSET(PO!K$12,ROW(B75)-ROW(B$12),0))</f>
        <v>1.7.2.0.10.</v>
      </c>
      <c r="C75" s="127" t="str">
        <f ca="1">IF(OFFSET(PO!N$12,ROW(C75)-ROW(C$12),0)=0,"",OFFSET(PO!N$12,ROW(C75)-ROW(C$12),0))</f>
        <v>TRAMA DE MADEIRA COMPOSTA POR RIPAS, CAIBROS E TERÇAS PARA TELHADOS DE MAIS QUE 2 ÁGUAS PARA TELHA DE ENCAIXE DE CERÂMICA OU DE CONCRETO, INCLUSO TRANSPORTE VERTICAL.</v>
      </c>
      <c r="D75" s="129" t="str">
        <f ca="1">IF(OFFSET(PO!O$12,ROW(D75)-ROW(D$12),0)=0,"",OFFSET(PO!O$12,ROW(D75)-ROW(D$12),0))</f>
        <v>M²</v>
      </c>
      <c r="E75" s="165">
        <f ca="1">IF($A75&lt;&gt;"Serviço",0,ROUND(SUMIF($F$9:$P$9,"&lt;&gt;",$F75:$P75),15-13*PO!$X$3))</f>
        <v>1189.68</v>
      </c>
      <c r="F75" s="400">
        <f ca="1">OFFSET(PO!$P$12,ROW($E75)-ROW(F$12),0)</f>
        <v>1189.68</v>
      </c>
      <c r="G75" s="400"/>
      <c r="H75" s="400"/>
      <c r="I75" s="400"/>
      <c r="J75" s="400"/>
      <c r="K75" s="400"/>
      <c r="L75" s="400"/>
      <c r="M75" s="400"/>
      <c r="N75" s="400"/>
      <c r="O75" s="400"/>
      <c r="U75" s="215"/>
    </row>
    <row r="76" spans="1:21" s="4" customFormat="1" x14ac:dyDescent="0.2">
      <c r="A76" s="128" t="str">
        <f ca="1">OFFSET(PO!J$12,ROW(A76)-ROW($A$12),0)</f>
        <v>Nível 3</v>
      </c>
      <c r="B76" s="130" t="str">
        <f ca="1">IF($A76=0,"",OFFSET(PO!K$12,ROW(B76)-ROW(B$12),0))</f>
        <v>1.7.3.</v>
      </c>
      <c r="C76" s="127" t="str">
        <f ca="1">IF(OFFSET(PO!N$12,ROW(C76)-ROW(C$12),0)=0,"",OFFSET(PO!N$12,ROW(C76)-ROW(C$12),0))</f>
        <v>COBERTURA E FORRO</v>
      </c>
      <c r="D76" s="129" t="str">
        <f ca="1">IF(OFFSET(PO!O$12,ROW(D76)-ROW(D$12),0)=0,"",OFFSET(PO!O$12,ROW(D76)-ROW(D$12),0))</f>
        <v/>
      </c>
      <c r="E76" s="165">
        <f ca="1">IF($A76&lt;&gt;"Serviço",0,ROUND(SUMIF($F$9:$P$9,"&lt;&gt;",$F76:$P76),15-13*PO!$X$3))</f>
        <v>0</v>
      </c>
      <c r="F76" s="400">
        <f ca="1">OFFSET(PO!$P$12,ROW($E76)-ROW(F$12),0)</f>
        <v>0</v>
      </c>
      <c r="G76" s="400"/>
      <c r="H76" s="400"/>
      <c r="I76" s="400"/>
      <c r="J76" s="400"/>
      <c r="K76" s="400"/>
      <c r="L76" s="400"/>
      <c r="M76" s="400"/>
      <c r="N76" s="400"/>
      <c r="O76" s="400"/>
      <c r="U76" s="215"/>
    </row>
    <row r="77" spans="1:21" s="4" customFormat="1" ht="25.5" x14ac:dyDescent="0.2">
      <c r="A77" s="128" t="str">
        <f ca="1">OFFSET(PO!J$12,ROW(A77)-ROW($A$12),0)</f>
        <v>Serviço</v>
      </c>
      <c r="B77" s="130" t="str">
        <f ca="1">IF($A77=0,"",OFFSET(PO!K$12,ROW(B77)-ROW(B$12),0))</f>
        <v>1.7.3.0.1.</v>
      </c>
      <c r="C77" s="127" t="str">
        <f ca="1">IF(OFFSET(PO!N$12,ROW(C77)-ROW(C$12),0)=0,"",OFFSET(PO!N$12,ROW(C77)-ROW(C$12),0))</f>
        <v>Cerâmica romana, inclinação 35% (m² = área de projeção do telhado x 1,08)</v>
      </c>
      <c r="D77" s="129" t="str">
        <f ca="1">IF(OFFSET(PO!O$12,ROW(D77)-ROW(D$12),0)=0,"",OFFSET(PO!O$12,ROW(D77)-ROW(D$12),0))</f>
        <v>M²</v>
      </c>
      <c r="E77" s="165">
        <f ca="1">IF($A77&lt;&gt;"Serviço",0,ROUND(SUMIF($F$9:$P$9,"&lt;&gt;",$F77:$P77),15-13*PO!$X$3))</f>
        <v>1189.68</v>
      </c>
      <c r="F77" s="400">
        <f ca="1">OFFSET(PO!$P$12,ROW($E77)-ROW(F$12),0)</f>
        <v>1189.68</v>
      </c>
      <c r="G77" s="400"/>
      <c r="H77" s="400"/>
      <c r="I77" s="400"/>
      <c r="J77" s="400"/>
      <c r="K77" s="400"/>
      <c r="L77" s="400"/>
      <c r="M77" s="400"/>
      <c r="N77" s="400"/>
      <c r="O77" s="400"/>
      <c r="U77" s="215"/>
    </row>
    <row r="78" spans="1:21" s="4" customFormat="1" ht="25.5" x14ac:dyDescent="0.2">
      <c r="A78" s="128" t="str">
        <f ca="1">OFFSET(PO!J$12,ROW(A78)-ROW($A$12),0)</f>
        <v>Serviço</v>
      </c>
      <c r="B78" s="130" t="str">
        <f ca="1">IF($A78=0,"",OFFSET(PO!K$12,ROW(B78)-ROW(B$12),0))</f>
        <v>1.7.3.0.2.</v>
      </c>
      <c r="C78" s="127" t="str">
        <f ca="1">IF(OFFSET(PO!N$12,ROW(C78)-ROW(C$12),0)=0,"",OFFSET(PO!N$12,ROW(C78)-ROW(C$12),0))</f>
        <v>Fornecimento, transporte e colocação de cumeeira e espigão: Para telha cerâmica referência 3 unidades / m</v>
      </c>
      <c r="D78" s="129" t="str">
        <f ca="1">IF(OFFSET(PO!O$12,ROW(D78)-ROW(D$12),0)=0,"",OFFSET(PO!O$12,ROW(D78)-ROW(D$12),0))</f>
        <v>M</v>
      </c>
      <c r="E78" s="165">
        <f ca="1">IF($A78&lt;&gt;"Serviço",0,ROUND(SUMIF($F$9:$P$9,"&lt;&gt;",$F78:$P78),15-13*PO!$X$3))</f>
        <v>213.8</v>
      </c>
      <c r="F78" s="400">
        <f ca="1">OFFSET(PO!$P$12,ROW($E78)-ROW(F$12),0)</f>
        <v>213.8</v>
      </c>
      <c r="G78" s="400"/>
      <c r="H78" s="400"/>
      <c r="I78" s="400"/>
      <c r="J78" s="400"/>
      <c r="K78" s="400"/>
      <c r="L78" s="400"/>
      <c r="M78" s="400"/>
      <c r="N78" s="400"/>
      <c r="O78" s="400"/>
      <c r="U78" s="215"/>
    </row>
    <row r="79" spans="1:21" s="4" customFormat="1" ht="25.5" x14ac:dyDescent="0.2">
      <c r="A79" s="128" t="str">
        <f ca="1">OFFSET(PO!J$12,ROW(A79)-ROW($A$12),0)</f>
        <v>Nível 2</v>
      </c>
      <c r="B79" s="130" t="str">
        <f ca="1">IF($A79=0,"",OFFSET(PO!K$12,ROW(B79)-ROW(B$12),0))</f>
        <v>1.8.</v>
      </c>
      <c r="C79" s="127" t="str">
        <f ca="1">IF(OFFSET(PO!N$12,ROW(C79)-ROW(C$12),0)=0,"",OFFSET(PO!N$12,ROW(C79)-ROW(C$12),0))</f>
        <v>IMPERMEABILIZAÇÃO, REVESTIMENTOS INTERNOS E INTERNOS</v>
      </c>
      <c r="D79" s="129" t="str">
        <f ca="1">IF(OFFSET(PO!O$12,ROW(D79)-ROW(D$12),0)=0,"",OFFSET(PO!O$12,ROW(D79)-ROW(D$12),0))</f>
        <v/>
      </c>
      <c r="E79" s="165">
        <f ca="1">IF($A79&lt;&gt;"Serviço",0,ROUND(SUMIF($F$9:$P$9,"&lt;&gt;",$F79:$P79),15-13*PO!$X$3))</f>
        <v>0</v>
      </c>
      <c r="F79" s="400">
        <f ca="1">OFFSET(PO!$P$12,ROW($E79)-ROW(F$12),0)</f>
        <v>0</v>
      </c>
      <c r="G79" s="400"/>
      <c r="H79" s="400"/>
      <c r="I79" s="400"/>
      <c r="J79" s="400"/>
      <c r="K79" s="400"/>
      <c r="L79" s="400"/>
      <c r="M79" s="400"/>
      <c r="N79" s="400"/>
      <c r="O79" s="400"/>
      <c r="U79" s="215"/>
    </row>
    <row r="80" spans="1:21" s="4" customFormat="1" ht="25.5" x14ac:dyDescent="0.2">
      <c r="A80" s="128" t="str">
        <f ca="1">OFFSET(PO!J$12,ROW(A80)-ROW($A$12),0)</f>
        <v>Serviço</v>
      </c>
      <c r="B80" s="130" t="str">
        <f ca="1">IF($A80=0,"",OFFSET(PO!K$12,ROW(B80)-ROW(B$12),0))</f>
        <v>1.8.0.0.1.</v>
      </c>
      <c r="C80" s="127" t="str">
        <f ca="1">IF(OFFSET(PO!N$12,ROW(C80)-ROW(C$12),0)=0,"",OFFSET(PO!N$12,ROW(C80)-ROW(C$12),0))</f>
        <v>Impermeabilizações de fundações em concreto ou alvenaria de embasamento com aplicação de tinta betuminosa</v>
      </c>
      <c r="D80" s="129" t="str">
        <f ca="1">IF(OFFSET(PO!O$12,ROW(D80)-ROW(D$12),0)=0,"",OFFSET(PO!O$12,ROW(D80)-ROW(D$12),0))</f>
        <v>M²</v>
      </c>
      <c r="E80" s="165">
        <f ca="1">IF($A80&lt;&gt;"Serviço",0,ROUND(SUMIF($F$9:$P$9,"&lt;&gt;",$F80:$P80),15-13*PO!$X$3))</f>
        <v>9.74</v>
      </c>
      <c r="F80" s="400">
        <f ca="1">OFFSET(PO!$P$12,ROW($E80)-ROW(F$12),0)</f>
        <v>9.74</v>
      </c>
      <c r="G80" s="400"/>
      <c r="H80" s="400"/>
      <c r="I80" s="400"/>
      <c r="J80" s="400"/>
      <c r="K80" s="400"/>
      <c r="L80" s="400"/>
      <c r="M80" s="400"/>
      <c r="N80" s="400"/>
      <c r="O80" s="400"/>
      <c r="U80" s="215"/>
    </row>
    <row r="81" spans="1:21" s="4" customFormat="1" x14ac:dyDescent="0.2">
      <c r="A81" s="128" t="str">
        <f ca="1">OFFSET(PO!J$12,ROW(A81)-ROW($A$12),0)</f>
        <v>Serviço</v>
      </c>
      <c r="B81" s="130" t="str">
        <f ca="1">IF($A81=0,"",OFFSET(PO!K$12,ROW(B81)-ROW(B$12),0))</f>
        <v>1.8.0.0.2.</v>
      </c>
      <c r="C81" s="127" t="str">
        <f ca="1">IF(OFFSET(PO!N$12,ROW(C81)-ROW(C$12),0)=0,"",OFFSET(PO!N$12,ROW(C81)-ROW(C$12),0))</f>
        <v>Chapisco com argamassa 1:3 cimento e areia, a colher</v>
      </c>
      <c r="D81" s="129" t="str">
        <f ca="1">IF(OFFSET(PO!O$12,ROW(D81)-ROW(D$12),0)=0,"",OFFSET(PO!O$12,ROW(D81)-ROW(D$12),0))</f>
        <v>M²</v>
      </c>
      <c r="E81" s="165">
        <f ca="1">IF($A81&lt;&gt;"Serviço",0,ROUND(SUMIF($F$9:$P$9,"&lt;&gt;",$F81:$P81),15-13*PO!$X$3))</f>
        <v>2548.98</v>
      </c>
      <c r="F81" s="400">
        <f ca="1">OFFSET(PO!$P$12,ROW($E81)-ROW(F$12),0)</f>
        <v>2548.98</v>
      </c>
      <c r="G81" s="400"/>
      <c r="H81" s="400"/>
      <c r="I81" s="400"/>
      <c r="J81" s="400"/>
      <c r="K81" s="400"/>
      <c r="L81" s="400"/>
      <c r="M81" s="400"/>
      <c r="N81" s="400"/>
      <c r="O81" s="400"/>
      <c r="U81" s="215"/>
    </row>
    <row r="82" spans="1:21" s="4" customFormat="1" ht="25.5" x14ac:dyDescent="0.2">
      <c r="A82" s="128" t="str">
        <f ca="1">OFFSET(PO!J$12,ROW(A82)-ROW($A$12),0)</f>
        <v>Serviço</v>
      </c>
      <c r="B82" s="130" t="str">
        <f ca="1">IF($A82=0,"",OFFSET(PO!K$12,ROW(B82)-ROW(B$12),0))</f>
        <v>1.8.0.0.3.</v>
      </c>
      <c r="C82" s="127" t="str">
        <f ca="1">IF(OFFSET(PO!N$12,ROW(C82)-ROW(C$12),0)=0,"",OFFSET(PO!N$12,ROW(C82)-ROW(C$12),0))</f>
        <v>Emboço com argamassa 1:6 cimento e areia lavada média peneirada, para paredes revestidas com tinta, e = 20mm</v>
      </c>
      <c r="D82" s="129" t="str">
        <f ca="1">IF(OFFSET(PO!O$12,ROW(D82)-ROW(D$12),0)=0,"",OFFSET(PO!O$12,ROW(D82)-ROW(D$12),0))</f>
        <v>M²</v>
      </c>
      <c r="E82" s="165">
        <f ca="1">IF($A82&lt;&gt;"Serviço",0,ROUND(SUMIF($F$9:$P$9,"&lt;&gt;",$F82:$P82),15-13*PO!$X$3))</f>
        <v>1969.41</v>
      </c>
      <c r="F82" s="400">
        <f ca="1">OFFSET(PO!$P$12,ROW($E82)-ROW(F$12),0)</f>
        <v>1969.41</v>
      </c>
      <c r="G82" s="400"/>
      <c r="H82" s="400"/>
      <c r="I82" s="400"/>
      <c r="J82" s="400"/>
      <c r="K82" s="400"/>
      <c r="L82" s="400"/>
      <c r="M82" s="400"/>
      <c r="N82" s="400"/>
      <c r="O82" s="400"/>
      <c r="U82" s="215"/>
    </row>
    <row r="83" spans="1:21" s="4" customFormat="1" x14ac:dyDescent="0.2">
      <c r="A83" s="128" t="str">
        <f ca="1">OFFSET(PO!J$12,ROW(A83)-ROW($A$12),0)</f>
        <v>Serviço</v>
      </c>
      <c r="B83" s="130" t="str">
        <f ca="1">IF($A83=0,"",OFFSET(PO!K$12,ROW(B83)-ROW(B$12),0))</f>
        <v>1.8.0.0.4.</v>
      </c>
      <c r="C83" s="127" t="str">
        <f ca="1">IF(OFFSET(PO!N$12,ROW(C83)-ROW(C$12),0)=0,"",OFFSET(PO!N$12,ROW(C83)-ROW(C$12),0))</f>
        <v>Reboco com argamassa 1:2:8 cimento, cal e areia</v>
      </c>
      <c r="D83" s="129" t="str">
        <f ca="1">IF(OFFSET(PO!O$12,ROW(D83)-ROW(D$12),0)=0,"",OFFSET(PO!O$12,ROW(D83)-ROW(D$12),0))</f>
        <v>M²</v>
      </c>
      <c r="E83" s="165">
        <f ca="1">IF($A83&lt;&gt;"Serviço",0,ROUND(SUMIF($F$9:$P$9,"&lt;&gt;",$F83:$P83),15-13*PO!$X$3))</f>
        <v>1887.34</v>
      </c>
      <c r="F83" s="400">
        <f ca="1">OFFSET(PO!$P$12,ROW($E83)-ROW(F$12),0)</f>
        <v>1887.3400000000001</v>
      </c>
      <c r="G83" s="400"/>
      <c r="H83" s="400"/>
      <c r="I83" s="400"/>
      <c r="J83" s="400"/>
      <c r="K83" s="400"/>
      <c r="L83" s="400"/>
      <c r="M83" s="400"/>
      <c r="N83" s="400"/>
      <c r="O83" s="400"/>
      <c r="U83" s="215"/>
    </row>
    <row r="84" spans="1:21" s="4" customFormat="1" ht="51" x14ac:dyDescent="0.2">
      <c r="A84" s="128" t="str">
        <f ca="1">OFFSET(PO!J$12,ROW(A84)-ROW($A$12),0)</f>
        <v>Serviço</v>
      </c>
      <c r="B84" s="130" t="str">
        <f ca="1">IF($A84=0,"",OFFSET(PO!K$12,ROW(B84)-ROW(B$12),0))</f>
        <v>1.8.0.0.5.</v>
      </c>
      <c r="C84" s="127" t="str">
        <f ca="1">IF(OFFSET(PO!N$12,ROW(C84)-ROW(C$12),0)=0,"",OFFSET(PO!N$12,ROW(C84)-ROW(C$12),0))</f>
        <v>Revestimento com cerâmica aplicado em parede, acabamento esmaltado, ambiente interno/externo, padrão extra, cor branca, dimensão da peça até 2.025cm², PEI III, assentamento com argamassa industrializada, inclusive rejuntamento</v>
      </c>
      <c r="D84" s="129" t="str">
        <f ca="1">IF(OFFSET(PO!O$12,ROW(D84)-ROW(D$12),0)=0,"",OFFSET(PO!O$12,ROW(D84)-ROW(D$12),0))</f>
        <v>M²</v>
      </c>
      <c r="E84" s="165">
        <f ca="1">IF($A84&lt;&gt;"Serviço",0,ROUND(SUMIF($F$9:$P$9,"&lt;&gt;",$F84:$P84),15-13*PO!$X$3))</f>
        <v>661.65</v>
      </c>
      <c r="F84" s="400">
        <f ca="1">OFFSET(PO!$P$12,ROW($E84)-ROW(F$12),0)</f>
        <v>661.65</v>
      </c>
      <c r="G84" s="400"/>
      <c r="H84" s="400"/>
      <c r="I84" s="400"/>
      <c r="J84" s="400"/>
      <c r="K84" s="400"/>
      <c r="L84" s="400"/>
      <c r="M84" s="400"/>
      <c r="N84" s="400"/>
      <c r="O84" s="400"/>
      <c r="U84" s="215"/>
    </row>
    <row r="85" spans="1:21" s="4" customFormat="1" x14ac:dyDescent="0.2">
      <c r="A85" s="128" t="str">
        <f ca="1">OFFSET(PO!J$12,ROW(A85)-ROW($A$12),0)</f>
        <v>Nível 2</v>
      </c>
      <c r="B85" s="130" t="str">
        <f ca="1">IF($A85=0,"",OFFSET(PO!K$12,ROW(B85)-ROW(B$12),0))</f>
        <v>1.9.</v>
      </c>
      <c r="C85" s="127" t="str">
        <f ca="1">IF(OFFSET(PO!N$12,ROW(C85)-ROW(C$12),0)=0,"",OFFSET(PO!N$12,ROW(C85)-ROW(C$12),0))</f>
        <v>PAVIMENTAÇÃO INTERNA E EXTERNA</v>
      </c>
      <c r="D85" s="129" t="str">
        <f ca="1">IF(OFFSET(PO!O$12,ROW(D85)-ROW(D$12),0)=0,"",OFFSET(PO!O$12,ROW(D85)-ROW(D$12),0))</f>
        <v/>
      </c>
      <c r="E85" s="165">
        <f ca="1">IF($A85&lt;&gt;"Serviço",0,ROUND(SUMIF($F$9:$P$9,"&lt;&gt;",$F85:$P85),15-13*PO!$X$3))</f>
        <v>0</v>
      </c>
      <c r="F85" s="400">
        <f ca="1">OFFSET(PO!$P$12,ROW($E85)-ROW(F$12),0)</f>
        <v>0</v>
      </c>
      <c r="G85" s="400"/>
      <c r="H85" s="400"/>
      <c r="I85" s="400"/>
      <c r="J85" s="400"/>
      <c r="K85" s="400"/>
      <c r="L85" s="400"/>
      <c r="M85" s="400"/>
      <c r="N85" s="400"/>
      <c r="O85" s="400"/>
      <c r="U85" s="215"/>
    </row>
    <row r="86" spans="1:21" s="4" customFormat="1" x14ac:dyDescent="0.2">
      <c r="A86" s="128" t="str">
        <f ca="1">OFFSET(PO!J$12,ROW(A86)-ROW($A$12),0)</f>
        <v>Nível 3</v>
      </c>
      <c r="B86" s="130" t="str">
        <f ca="1">IF($A86=0,"",OFFSET(PO!K$12,ROW(B86)-ROW(B$12),0))</f>
        <v>1.9.1.</v>
      </c>
      <c r="C86" s="127" t="str">
        <f ca="1">IF(OFFSET(PO!N$12,ROW(C86)-ROW(C$12),0)=0,"",OFFSET(PO!N$12,ROW(C86)-ROW(C$12),0))</f>
        <v>PAVIMENTAÇÃO INTERNA</v>
      </c>
      <c r="D86" s="129" t="str">
        <f ca="1">IF(OFFSET(PO!O$12,ROW(D86)-ROW(D$12),0)=0,"",OFFSET(PO!O$12,ROW(D86)-ROW(D$12),0))</f>
        <v/>
      </c>
      <c r="E86" s="165">
        <f ca="1">IF($A86&lt;&gt;"Serviço",0,ROUND(SUMIF($F$9:$P$9,"&lt;&gt;",$F86:$P86),15-13*PO!$X$3))</f>
        <v>0</v>
      </c>
      <c r="F86" s="400">
        <f ca="1">OFFSET(PO!$P$12,ROW($E86)-ROW(F$12),0)</f>
        <v>0</v>
      </c>
      <c r="G86" s="400"/>
      <c r="H86" s="400"/>
      <c r="I86" s="400"/>
      <c r="J86" s="400"/>
      <c r="K86" s="400"/>
      <c r="L86" s="400"/>
      <c r="M86" s="400"/>
      <c r="N86" s="400"/>
      <c r="O86" s="400"/>
      <c r="U86" s="215"/>
    </row>
    <row r="87" spans="1:21" s="4" customFormat="1" ht="25.5" x14ac:dyDescent="0.2">
      <c r="A87" s="128" t="str">
        <f ca="1">OFFSET(PO!J$12,ROW(A87)-ROW($A$12),0)</f>
        <v>Serviço</v>
      </c>
      <c r="B87" s="130" t="str">
        <f ca="1">IF($A87=0,"",OFFSET(PO!K$12,ROW(B87)-ROW(B$12),0))</f>
        <v>1.9.1.0.1.</v>
      </c>
      <c r="C87" s="127" t="str">
        <f ca="1">IF(OFFSET(PO!N$12,ROW(C87)-ROW(C$12),0)=0,"",OFFSET(PO!N$12,ROW(C87)-ROW(C$12),0))</f>
        <v>Lastro de concreto (contra-piso) não estrutural impermeabilizado, E=6 cm</v>
      </c>
      <c r="D87" s="129" t="str">
        <f ca="1">IF(OFFSET(PO!O$12,ROW(D87)-ROW(D$12),0)=0,"",OFFSET(PO!O$12,ROW(D87)-ROW(D$12),0))</f>
        <v>M²</v>
      </c>
      <c r="E87" s="165">
        <f ca="1">IF($A87&lt;&gt;"Serviço",0,ROUND(SUMIF($F$9:$P$9,"&lt;&gt;",$F87:$P87),15-13*PO!$X$3))</f>
        <v>814.48</v>
      </c>
      <c r="F87" s="400">
        <f ca="1">OFFSET(PO!$P$12,ROW($E87)-ROW(F$12),0)</f>
        <v>814.48</v>
      </c>
      <c r="G87" s="400"/>
      <c r="H87" s="400"/>
      <c r="I87" s="400"/>
      <c r="J87" s="400"/>
      <c r="K87" s="400"/>
      <c r="L87" s="400"/>
      <c r="M87" s="400"/>
      <c r="N87" s="400"/>
      <c r="O87" s="400"/>
      <c r="U87" s="215"/>
    </row>
    <row r="88" spans="1:21" s="4" customFormat="1" ht="25.5" x14ac:dyDescent="0.2">
      <c r="A88" s="128" t="str">
        <f ca="1">OFFSET(PO!J$12,ROW(A88)-ROW($A$12),0)</f>
        <v>Serviço</v>
      </c>
      <c r="B88" s="130" t="str">
        <f ca="1">IF($A88=0,"",OFFSET(PO!K$12,ROW(B88)-ROW(B$12),0))</f>
        <v>1.9.1.0.2.</v>
      </c>
      <c r="C88" s="127" t="str">
        <f ca="1">IF(OFFSET(PO!N$12,ROW(C88)-ROW(C$12),0)=0,"",OFFSET(PO!N$12,ROW(C88)-ROW(C$12),0))</f>
        <v>Piso cimentado com argamassa de cimento e areia sem peneirar, traço 1:3, e=2,5cm</v>
      </c>
      <c r="D88" s="129" t="str">
        <f ca="1">IF(OFFSET(PO!O$12,ROW(D88)-ROW(D$12),0)=0,"",OFFSET(PO!O$12,ROW(D88)-ROW(D$12),0))</f>
        <v>M²</v>
      </c>
      <c r="E88" s="165">
        <f ca="1">IF($A88&lt;&gt;"Serviço",0,ROUND(SUMIF($F$9:$P$9,"&lt;&gt;",$F88:$P88),15-13*PO!$X$3))</f>
        <v>814.48</v>
      </c>
      <c r="F88" s="400">
        <f ca="1">OFFSET(PO!$P$12,ROW($E88)-ROW(F$12),0)</f>
        <v>814.48</v>
      </c>
      <c r="G88" s="400"/>
      <c r="H88" s="400"/>
      <c r="I88" s="400"/>
      <c r="J88" s="400"/>
      <c r="K88" s="400"/>
      <c r="L88" s="400"/>
      <c r="M88" s="400"/>
      <c r="N88" s="400"/>
      <c r="O88" s="400"/>
      <c r="U88" s="215"/>
    </row>
    <row r="89" spans="1:21" s="4" customFormat="1" ht="51" x14ac:dyDescent="0.2">
      <c r="A89" s="128" t="str">
        <f ca="1">OFFSET(PO!J$12,ROW(A89)-ROW($A$12),0)</f>
        <v>Serviço</v>
      </c>
      <c r="B89" s="130" t="str">
        <f ca="1">IF($A89=0,"",OFFSET(PO!K$12,ROW(B89)-ROW(B$12),0))</f>
        <v>1.9.1.0.3.</v>
      </c>
      <c r="C89" s="127" t="str">
        <f ca="1">IF(OFFSET(PO!N$12,ROW(C89)-ROW(C$12),0)=0,"",OFFSET(PO!N$12,ROW(C89)-ROW(C$12),0))</f>
        <v>Revestimento com cerâmica aplicado em piso, acabamento esmaltado, ambiente interno, padrão extra, cor branca, dimensão da peça até 2.025cm², PEI V, assentamento com argamassa industrializada, inclusive rejuntamento</v>
      </c>
      <c r="D89" s="129" t="str">
        <f ca="1">IF(OFFSET(PO!O$12,ROW(D89)-ROW(D$12),0)=0,"",OFFSET(PO!O$12,ROW(D89)-ROW(D$12),0))</f>
        <v>M²</v>
      </c>
      <c r="E89" s="165">
        <f ca="1">IF($A89&lt;&gt;"Serviço",0,ROUND(SUMIF($F$9:$P$9,"&lt;&gt;",$F89:$P89),15-13*PO!$X$3))</f>
        <v>814.48</v>
      </c>
      <c r="F89" s="400">
        <f ca="1">OFFSET(PO!$P$12,ROW($E89)-ROW(F$12),0)</f>
        <v>814.48</v>
      </c>
      <c r="G89" s="400"/>
      <c r="H89" s="400"/>
      <c r="I89" s="400"/>
      <c r="J89" s="400"/>
      <c r="K89" s="400"/>
      <c r="L89" s="400"/>
      <c r="M89" s="400"/>
      <c r="N89" s="400"/>
      <c r="O89" s="400"/>
      <c r="U89" s="215"/>
    </row>
    <row r="90" spans="1:21" s="4" customFormat="1" x14ac:dyDescent="0.2">
      <c r="A90" s="128" t="str">
        <f ca="1">OFFSET(PO!J$12,ROW(A90)-ROW($A$12),0)</f>
        <v>Serviço</v>
      </c>
      <c r="B90" s="130" t="str">
        <f ca="1">IF($A90=0,"",OFFSET(PO!K$12,ROW(B90)-ROW(B$12),0))</f>
        <v>1.9.1.0.4.</v>
      </c>
      <c r="C90" s="127" t="str">
        <f ca="1">IF(OFFSET(PO!N$12,ROW(C90)-ROW(C$12),0)=0,"",OFFSET(PO!N$12,ROW(C90)-ROW(C$12),0))</f>
        <v>Placa podotátil de alerta, de borracha e = 5 mm assentada com cola</v>
      </c>
      <c r="D90" s="129" t="str">
        <f ca="1">IF(OFFSET(PO!O$12,ROW(D90)-ROW(D$12),0)=0,"",OFFSET(PO!O$12,ROW(D90)-ROW(D$12),0))</f>
        <v>M²</v>
      </c>
      <c r="E90" s="165">
        <f ca="1">IF($A90&lt;&gt;"Serviço",0,ROUND(SUMIF($F$9:$P$9,"&lt;&gt;",$F90:$P90),15-13*PO!$X$3))</f>
        <v>46.35</v>
      </c>
      <c r="F90" s="400">
        <f ca="1">OFFSET(PO!$P$12,ROW($E90)-ROW(F$12),0)</f>
        <v>46.35</v>
      </c>
      <c r="G90" s="400"/>
      <c r="H90" s="400"/>
      <c r="I90" s="400"/>
      <c r="J90" s="400"/>
      <c r="K90" s="400"/>
      <c r="L90" s="400"/>
      <c r="M90" s="400"/>
      <c r="N90" s="400"/>
      <c r="O90" s="400"/>
      <c r="U90" s="215"/>
    </row>
    <row r="91" spans="1:21" s="4" customFormat="1" x14ac:dyDescent="0.2">
      <c r="A91" s="128" t="str">
        <f ca="1">OFFSET(PO!J$12,ROW(A91)-ROW($A$12),0)</f>
        <v>Serviço</v>
      </c>
      <c r="B91" s="130" t="str">
        <f ca="1">IF($A91=0,"",OFFSET(PO!K$12,ROW(B91)-ROW(B$12),0))</f>
        <v>1.9.1.0.5.</v>
      </c>
      <c r="C91" s="127" t="str">
        <f ca="1">IF(OFFSET(PO!N$12,ROW(C91)-ROW(C$12),0)=0,"",OFFSET(PO!N$12,ROW(C91)-ROW(C$12),0))</f>
        <v>Soleira ou peitoril de granito cinza andorinha e=2cm</v>
      </c>
      <c r="D91" s="129" t="str">
        <f ca="1">IF(OFFSET(PO!O$12,ROW(D91)-ROW(D$12),0)=0,"",OFFSET(PO!O$12,ROW(D91)-ROW(D$12),0))</f>
        <v>M²</v>
      </c>
      <c r="E91" s="165">
        <f ca="1">IF($A91&lt;&gt;"Serviço",0,ROUND(SUMIF($F$9:$P$9,"&lt;&gt;",$F91:$P91),15-13*PO!$X$3))</f>
        <v>2.77</v>
      </c>
      <c r="F91" s="400">
        <f ca="1">OFFSET(PO!$P$12,ROW($E91)-ROW(F$12),0)</f>
        <v>2.77</v>
      </c>
      <c r="G91" s="400"/>
      <c r="H91" s="400"/>
      <c r="I91" s="400"/>
      <c r="J91" s="400"/>
      <c r="K91" s="400"/>
      <c r="L91" s="400"/>
      <c r="M91" s="400"/>
      <c r="N91" s="400"/>
      <c r="O91" s="400"/>
      <c r="U91" s="215"/>
    </row>
    <row r="92" spans="1:21" s="4" customFormat="1" x14ac:dyDescent="0.2">
      <c r="A92" s="128" t="str">
        <f ca="1">OFFSET(PO!J$12,ROW(A92)-ROW($A$12),0)</f>
        <v>Nível 3</v>
      </c>
      <c r="B92" s="130" t="str">
        <f ca="1">IF($A92=0,"",OFFSET(PO!K$12,ROW(B92)-ROW(B$12),0))</f>
        <v>1.9.2.</v>
      </c>
      <c r="C92" s="127" t="str">
        <f ca="1">IF(OFFSET(PO!N$12,ROW(C92)-ROW(C$12),0)=0,"",OFFSET(PO!N$12,ROW(C92)-ROW(C$12),0))</f>
        <v>PAVIMENTAÇÃO EXTERNA</v>
      </c>
      <c r="D92" s="129" t="str">
        <f ca="1">IF(OFFSET(PO!O$12,ROW(D92)-ROW(D$12),0)=0,"",OFFSET(PO!O$12,ROW(D92)-ROW(D$12),0))</f>
        <v/>
      </c>
      <c r="E92" s="165">
        <f ca="1">IF($A92&lt;&gt;"Serviço",0,ROUND(SUMIF($F$9:$P$9,"&lt;&gt;",$F92:$P92),15-13*PO!$X$3))</f>
        <v>0</v>
      </c>
      <c r="F92" s="400">
        <f ca="1">OFFSET(PO!$P$12,ROW($E92)-ROW(F$12),0)</f>
        <v>0</v>
      </c>
      <c r="G92" s="400"/>
      <c r="H92" s="400"/>
      <c r="I92" s="400"/>
      <c r="J92" s="400"/>
      <c r="K92" s="400"/>
      <c r="L92" s="400"/>
      <c r="M92" s="400"/>
      <c r="N92" s="400"/>
      <c r="O92" s="400"/>
      <c r="U92" s="215"/>
    </row>
    <row r="93" spans="1:21" s="4" customFormat="1" ht="38.25" x14ac:dyDescent="0.2">
      <c r="A93" s="128" t="str">
        <f ca="1">OFFSET(PO!J$12,ROW(A93)-ROW($A$12),0)</f>
        <v>Serviço</v>
      </c>
      <c r="B93" s="130" t="str">
        <f ca="1">IF($A93=0,"",OFFSET(PO!K$12,ROW(B93)-ROW(B$12),0))</f>
        <v>1.9.2.0.1.</v>
      </c>
      <c r="C93" s="127" t="str">
        <f ca="1">IF(OFFSET(PO!N$12,ROW(C93)-ROW(C$12),0)=0,"",OFFSET(PO!N$12,ROW(C93)-ROW(C$12),0))</f>
        <v>Passeio de concreto e= 8 cm, fck 15 Mpa, c/ preparo p/ terreno, incluindo preparo de caixa, sem revestimento com argamassa de cimento e areia</v>
      </c>
      <c r="D93" s="129" t="str">
        <f ca="1">IF(OFFSET(PO!O$12,ROW(D93)-ROW(D$12),0)=0,"",OFFSET(PO!O$12,ROW(D93)-ROW(D$12),0))</f>
        <v>M²</v>
      </c>
      <c r="E93" s="165">
        <f ca="1">IF($A93&lt;&gt;"Serviço",0,ROUND(SUMIF($F$9:$P$9,"&lt;&gt;",$F93:$P93),15-13*PO!$X$3))</f>
        <v>250.81</v>
      </c>
      <c r="F93" s="400">
        <f ca="1">OFFSET(PO!$P$12,ROW($E93)-ROW(F$12),0)</f>
        <v>250.81</v>
      </c>
      <c r="G93" s="400"/>
      <c r="H93" s="400"/>
      <c r="I93" s="400"/>
      <c r="J93" s="400"/>
      <c r="K93" s="400"/>
      <c r="L93" s="400"/>
      <c r="M93" s="400"/>
      <c r="N93" s="400"/>
      <c r="O93" s="400"/>
      <c r="U93" s="215"/>
    </row>
    <row r="94" spans="1:21" s="4" customFormat="1" ht="25.5" x14ac:dyDescent="0.2">
      <c r="A94" s="128" t="str">
        <f ca="1">OFFSET(PO!J$12,ROW(A94)-ROW($A$12),0)</f>
        <v>Serviço</v>
      </c>
      <c r="B94" s="130" t="str">
        <f ca="1">IF($A94=0,"",OFFSET(PO!K$12,ROW(B94)-ROW(B$12),0))</f>
        <v>1.9.2.0.2.</v>
      </c>
      <c r="C94" s="127" t="str">
        <f ca="1">IF(OFFSET(PO!N$12,ROW(C94)-ROW(C$12),0)=0,"",OFFSET(PO!N$12,ROW(C94)-ROW(C$12),0))</f>
        <v>Meio-fio de concreto pré-moldado (12 X 16,7 X 35) cm, inclusive escavação e reaterro</v>
      </c>
      <c r="D94" s="129" t="str">
        <f ca="1">IF(OFFSET(PO!O$12,ROW(D94)-ROW(D$12),0)=0,"",OFFSET(PO!O$12,ROW(D94)-ROW(D$12),0))</f>
        <v>M</v>
      </c>
      <c r="E94" s="165">
        <f ca="1">IF($A94&lt;&gt;"Serviço",0,ROUND(SUMIF($F$9:$P$9,"&lt;&gt;",$F94:$P94),15-13*PO!$X$3))</f>
        <v>27.3</v>
      </c>
      <c r="F94" s="400">
        <f ca="1">OFFSET(PO!$P$12,ROW($E94)-ROW(F$12),0)</f>
        <v>27.3</v>
      </c>
      <c r="G94" s="400"/>
      <c r="H94" s="400"/>
      <c r="I94" s="400"/>
      <c r="J94" s="400"/>
      <c r="K94" s="400"/>
      <c r="L94" s="400"/>
      <c r="M94" s="400"/>
      <c r="N94" s="400"/>
      <c r="O94" s="400"/>
      <c r="U94" s="215"/>
    </row>
    <row r="95" spans="1:21" s="4" customFormat="1" ht="25.5" x14ac:dyDescent="0.2">
      <c r="A95" s="128" t="str">
        <f ca="1">OFFSET(PO!J$12,ROW(A95)-ROW($A$12),0)</f>
        <v>Serviço</v>
      </c>
      <c r="B95" s="130" t="str">
        <f ca="1">IF($A95=0,"",OFFSET(PO!K$12,ROW(B95)-ROW(B$12),0))</f>
        <v>1.9.2.0.3.</v>
      </c>
      <c r="C95" s="127" t="str">
        <f ca="1">IF(OFFSET(PO!N$12,ROW(C95)-ROW(C$12),0)=0,"",OFFSET(PO!N$12,ROW(C95)-ROW(C$12),0))</f>
        <v>Colchão de brita para estacionamento (lastro de brita 3 e 4 apiloado manualmente com maço de 30kg)</v>
      </c>
      <c r="D95" s="129" t="str">
        <f ca="1">IF(OFFSET(PO!O$12,ROW(D95)-ROW(D$12),0)=0,"",OFFSET(PO!O$12,ROW(D95)-ROW(D$12),0))</f>
        <v>M³</v>
      </c>
      <c r="E95" s="165">
        <f ca="1">IF($A95&lt;&gt;"Serviço",0,ROUND(SUMIF($F$9:$P$9,"&lt;&gt;",$F95:$P95),15-13*PO!$X$3))</f>
        <v>11.28</v>
      </c>
      <c r="F95" s="400">
        <f ca="1">OFFSET(PO!$P$12,ROW($E95)-ROW(F$12),0)</f>
        <v>11.28</v>
      </c>
      <c r="G95" s="400"/>
      <c r="H95" s="400"/>
      <c r="I95" s="400"/>
      <c r="J95" s="400"/>
      <c r="K95" s="400"/>
      <c r="L95" s="400"/>
      <c r="M95" s="400"/>
      <c r="N95" s="400"/>
      <c r="O95" s="400"/>
      <c r="U95" s="215"/>
    </row>
    <row r="96" spans="1:21" s="4" customFormat="1" x14ac:dyDescent="0.2">
      <c r="A96" s="128" t="str">
        <f ca="1">OFFSET(PO!J$12,ROW(A96)-ROW($A$12),0)</f>
        <v>Nível 2</v>
      </c>
      <c r="B96" s="130" t="str">
        <f ca="1">IF($A96=0,"",OFFSET(PO!K$12,ROW(B96)-ROW(B$12),0))</f>
        <v>1.10.</v>
      </c>
      <c r="C96" s="127" t="str">
        <f ca="1">IF(OFFSET(PO!N$12,ROW(C96)-ROW(C$12),0)=0,"",OFFSET(PO!N$12,ROW(C96)-ROW(C$12),0))</f>
        <v>PINTURAS E ACABAMENTOS</v>
      </c>
      <c r="D96" s="129" t="str">
        <f ca="1">IF(OFFSET(PO!O$12,ROW(D96)-ROW(D$12),0)=0,"",OFFSET(PO!O$12,ROW(D96)-ROW(D$12),0))</f>
        <v/>
      </c>
      <c r="E96" s="165">
        <f ca="1">IF($A96&lt;&gt;"Serviço",0,ROUND(SUMIF($F$9:$P$9,"&lt;&gt;",$F96:$P96),15-13*PO!$X$3))</f>
        <v>0</v>
      </c>
      <c r="F96" s="400">
        <f ca="1">OFFSET(PO!$P$12,ROW($E96)-ROW(F$12),0)</f>
        <v>0</v>
      </c>
      <c r="G96" s="400"/>
      <c r="H96" s="400"/>
      <c r="I96" s="400"/>
      <c r="J96" s="400"/>
      <c r="K96" s="400"/>
      <c r="L96" s="400"/>
      <c r="M96" s="400"/>
      <c r="N96" s="400"/>
      <c r="O96" s="400"/>
      <c r="U96" s="215"/>
    </row>
    <row r="97" spans="1:21" s="4" customFormat="1" ht="25.5" x14ac:dyDescent="0.2">
      <c r="A97" s="128" t="str">
        <f ca="1">OFFSET(PO!J$12,ROW(A97)-ROW($A$12),0)</f>
        <v>Serviço</v>
      </c>
      <c r="B97" s="130" t="str">
        <f ca="1">IF($A97=0,"",OFFSET(PO!K$12,ROW(B97)-ROW(B$12),0))</f>
        <v>1.10.0.0.1.</v>
      </c>
      <c r="C97" s="127" t="str">
        <f ca="1">IF(OFFSET(PO!N$12,ROW(C97)-ROW(C$12),0)=0,"",OFFSET(PO!N$12,ROW(C97)-ROW(C$12),0))</f>
        <v>Emassamento de parede interna com massa corrida à base de PVA com duas demãos, para pintura látex</v>
      </c>
      <c r="D97" s="129" t="str">
        <f ca="1">IF(OFFSET(PO!O$12,ROW(D97)-ROW(D$12),0)=0,"",OFFSET(PO!O$12,ROW(D97)-ROW(D$12),0))</f>
        <v>M²</v>
      </c>
      <c r="E97" s="165">
        <f ca="1">IF($A97&lt;&gt;"Serviço",0,ROUND(SUMIF($F$9:$P$9,"&lt;&gt;",$F97:$P97),15-13*PO!$X$3))</f>
        <v>1012.12</v>
      </c>
      <c r="F97" s="400">
        <f ca="1">OFFSET(PO!$P$12,ROW($E97)-ROW(F$12),0)</f>
        <v>1012.1200000000001</v>
      </c>
      <c r="G97" s="400"/>
      <c r="H97" s="400"/>
      <c r="I97" s="400"/>
      <c r="J97" s="400"/>
      <c r="K97" s="400"/>
      <c r="L97" s="400"/>
      <c r="M97" s="400"/>
      <c r="N97" s="400"/>
      <c r="O97" s="400"/>
      <c r="U97" s="215"/>
    </row>
    <row r="98" spans="1:21" s="4" customFormat="1" ht="25.5" x14ac:dyDescent="0.2">
      <c r="A98" s="128" t="str">
        <f ca="1">OFFSET(PO!J$12,ROW(A98)-ROW($A$12),0)</f>
        <v>Serviço</v>
      </c>
      <c r="B98" s="130" t="str">
        <f ca="1">IF($A98=0,"",OFFSET(PO!K$12,ROW(B98)-ROW(B$12),0))</f>
        <v>1.10.0.0.2.</v>
      </c>
      <c r="C98" s="127" t="str">
        <f ca="1">IF(OFFSET(PO!N$12,ROW(C98)-ROW(C$12),0)=0,"",OFFSET(PO!N$12,ROW(C98)-ROW(C$12),0))</f>
        <v>Látex PVA em parede interna (2 demãos), com fundo preparador / selador</v>
      </c>
      <c r="D98" s="129" t="str">
        <f ca="1">IF(OFFSET(PO!O$12,ROW(D98)-ROW(D$12),0)=0,"",OFFSET(PO!O$12,ROW(D98)-ROW(D$12),0))</f>
        <v>M²</v>
      </c>
      <c r="E98" s="165">
        <f ca="1">IF($A98&lt;&gt;"Serviço",0,ROUND(SUMIF($F$9:$P$9,"&lt;&gt;",$F98:$P98),15-13*PO!$X$3))</f>
        <v>1887.34</v>
      </c>
      <c r="F98" s="400">
        <f ca="1">OFFSET(PO!$P$12,ROW($E98)-ROW(F$12),0)</f>
        <v>1887.3400000000001</v>
      </c>
      <c r="G98" s="400"/>
      <c r="H98" s="400"/>
      <c r="I98" s="400"/>
      <c r="J98" s="400"/>
      <c r="K98" s="400"/>
      <c r="L98" s="400"/>
      <c r="M98" s="400"/>
      <c r="N98" s="400"/>
      <c r="O98" s="400"/>
      <c r="U98" s="215"/>
    </row>
    <row r="99" spans="1:21" s="4" customFormat="1" ht="51" x14ac:dyDescent="0.2">
      <c r="A99" s="128" t="str">
        <f ca="1">OFFSET(PO!J$12,ROW(A99)-ROW($A$12),0)</f>
        <v>Serviço</v>
      </c>
      <c r="B99" s="130" t="str">
        <f ca="1">IF($A99=0,"",OFFSET(PO!K$12,ROW(B99)-ROW(B$12),0))</f>
        <v>1.10.0.0.3.</v>
      </c>
      <c r="C99" s="127" t="str">
        <f ca="1">IF(OFFSET(PO!N$12,ROW(C99)-ROW(C$12),0)=0,"",OFFSET(PO!N$12,ROW(C99)-ROW(C$12),0))</f>
        <v>PINTURA COM TINTA ALQUÍDICA DE ACABAMENTO (ESMALTE SINTÉTICO ACETINADO ) APLICADA A ROLO OU PINCEL SOBRE SUPERFÍCIES METÁLICAS (EXCETO PERFIL ) EXECUTADO EM OBRA (POR DEMÃO). AF_01/2020</v>
      </c>
      <c r="D99" s="129" t="str">
        <f ca="1">IF(OFFSET(PO!O$12,ROW(D99)-ROW(D$12),0)=0,"",OFFSET(PO!O$12,ROW(D99)-ROW(D$12),0))</f>
        <v>M²</v>
      </c>
      <c r="E99" s="165">
        <f ca="1">IF($A99&lt;&gt;"Serviço",0,ROUND(SUMIF($F$9:$P$9,"&lt;&gt;",$F99:$P99),15-13*PO!$X$3))</f>
        <v>21.6</v>
      </c>
      <c r="F99" s="400">
        <f ca="1">OFFSET(PO!$P$12,ROW($E99)-ROW(F$12),0)</f>
        <v>21.6</v>
      </c>
      <c r="G99" s="400"/>
      <c r="H99" s="400"/>
      <c r="I99" s="400"/>
      <c r="J99" s="400"/>
      <c r="K99" s="400"/>
      <c r="L99" s="400"/>
      <c r="M99" s="400"/>
      <c r="N99" s="400"/>
      <c r="O99" s="400"/>
      <c r="U99" s="215"/>
    </row>
    <row r="100" spans="1:21" s="4" customFormat="1" x14ac:dyDescent="0.2">
      <c r="A100" s="128" t="str">
        <f ca="1">OFFSET(PO!J$12,ROW(A100)-ROW($A$12),0)</f>
        <v>Serviço</v>
      </c>
      <c r="B100" s="130" t="str">
        <f ca="1">IF($A100=0,"",OFFSET(PO!K$12,ROW(B100)-ROW(B$12),0))</f>
        <v>1.10.0.0.4.</v>
      </c>
      <c r="C100" s="127" t="str">
        <f ca="1">IF(OFFSET(PO!N$12,ROW(C100)-ROW(C$12),0)=0,"",OFFSET(PO!N$12,ROW(C100)-ROW(C$12),0))</f>
        <v>Verniz em esquadrias de madeira com duas demãos</v>
      </c>
      <c r="D100" s="129" t="str">
        <f ca="1">IF(OFFSET(PO!O$12,ROW(D100)-ROW(D$12),0)=0,"",OFFSET(PO!O$12,ROW(D100)-ROW(D$12),0))</f>
        <v>M²</v>
      </c>
      <c r="E100" s="165">
        <f ca="1">IF($A100&lt;&gt;"Serviço",0,ROUND(SUMIF($F$9:$P$9,"&lt;&gt;",$F100:$P100),15-13*PO!$X$3))</f>
        <v>62.56</v>
      </c>
      <c r="F100" s="400">
        <f ca="1">OFFSET(PO!$P$12,ROW($E100)-ROW(F$12),0)</f>
        <v>62.56</v>
      </c>
      <c r="G100" s="400"/>
      <c r="H100" s="400"/>
      <c r="I100" s="400"/>
      <c r="J100" s="400"/>
      <c r="K100" s="400"/>
      <c r="L100" s="400"/>
      <c r="M100" s="400"/>
      <c r="N100" s="400"/>
      <c r="O100" s="400"/>
      <c r="U100" s="215"/>
    </row>
    <row r="101" spans="1:21" s="4" customFormat="1" x14ac:dyDescent="0.2">
      <c r="A101" s="128" t="str">
        <f ca="1">OFFSET(PO!J$12,ROW(A101)-ROW($A$12),0)</f>
        <v>Nível 2</v>
      </c>
      <c r="B101" s="130" t="str">
        <f ca="1">IF($A101=0,"",OFFSET(PO!K$12,ROW(B101)-ROW(B$12),0))</f>
        <v>1.11.</v>
      </c>
      <c r="C101" s="127" t="str">
        <f ca="1">IF(OFFSET(PO!N$12,ROW(C101)-ROW(C$12),0)=0,"",OFFSET(PO!N$12,ROW(C101)-ROW(C$12),0))</f>
        <v>INSTALAÇÕES HIDRÁULICAS</v>
      </c>
      <c r="D101" s="129" t="str">
        <f ca="1">IF(OFFSET(PO!O$12,ROW(D101)-ROW(D$12),0)=0,"",OFFSET(PO!O$12,ROW(D101)-ROW(D$12),0))</f>
        <v/>
      </c>
      <c r="E101" s="165">
        <f ca="1">IF($A101&lt;&gt;"Serviço",0,ROUND(SUMIF($F$9:$P$9,"&lt;&gt;",$F101:$P101),15-13*PO!$X$3))</f>
        <v>0</v>
      </c>
      <c r="F101" s="400">
        <f ca="1">OFFSET(PO!$P$12,ROW($E101)-ROW(F$12),0)</f>
        <v>0</v>
      </c>
      <c r="G101" s="400"/>
      <c r="H101" s="400"/>
      <c r="I101" s="400"/>
      <c r="J101" s="400"/>
      <c r="K101" s="400"/>
      <c r="L101" s="400"/>
      <c r="M101" s="400"/>
      <c r="N101" s="400"/>
      <c r="O101" s="400"/>
      <c r="U101" s="215"/>
    </row>
    <row r="102" spans="1:21" s="4" customFormat="1" ht="38.25" x14ac:dyDescent="0.2">
      <c r="A102" s="128" t="str">
        <f ca="1">OFFSET(PO!J$12,ROW(A102)-ROW($A$12),0)</f>
        <v>Serviço</v>
      </c>
      <c r="B102" s="130" t="str">
        <f ca="1">IF($A102=0,"",OFFSET(PO!K$12,ROW(B102)-ROW(B$12),0))</f>
        <v>1.11.0.0.1.</v>
      </c>
      <c r="C102" s="127" t="str">
        <f ca="1">IF(OFFSET(PO!N$12,ROW(C102)-ROW(C$12),0)=0,"",OFFSET(PO!N$12,ROW(C102)-ROW(C$12),0))</f>
        <v>Tubo PVC soldável  20mm (com conexões), incluindo serviços de rasgo e enchimento de rasgo em alvenaria com argamassa para passagem de tubulação</v>
      </c>
      <c r="D102" s="129" t="str">
        <f ca="1">IF(OFFSET(PO!O$12,ROW(D102)-ROW(D$12),0)=0,"",OFFSET(PO!O$12,ROW(D102)-ROW(D$12),0))</f>
        <v>M</v>
      </c>
      <c r="E102" s="165">
        <f ca="1">IF($A102&lt;&gt;"Serviço",0,ROUND(SUMIF($F$9:$P$9,"&lt;&gt;",$F102:$P102),15-13*PO!$X$3))</f>
        <v>23</v>
      </c>
      <c r="F102" s="400">
        <f ca="1">OFFSET(PO!$P$12,ROW($E102)-ROW(F$12),0)</f>
        <v>23</v>
      </c>
      <c r="G102" s="400"/>
      <c r="H102" s="400"/>
      <c r="I102" s="400"/>
      <c r="J102" s="400"/>
      <c r="K102" s="400"/>
      <c r="L102" s="400"/>
      <c r="M102" s="400"/>
      <c r="N102" s="400"/>
      <c r="O102" s="400"/>
      <c r="U102" s="215"/>
    </row>
    <row r="103" spans="1:21" s="4" customFormat="1" ht="38.25" x14ac:dyDescent="0.2">
      <c r="A103" s="128" t="str">
        <f ca="1">OFFSET(PO!J$12,ROW(A103)-ROW($A$12),0)</f>
        <v>Serviço</v>
      </c>
      <c r="B103" s="130" t="str">
        <f ca="1">IF($A103=0,"",OFFSET(PO!K$12,ROW(B103)-ROW(B$12),0))</f>
        <v>1.11.0.0.2.</v>
      </c>
      <c r="C103" s="127" t="str">
        <f ca="1">IF(OFFSET(PO!N$12,ROW(C103)-ROW(C$12),0)=0,"",OFFSET(PO!N$12,ROW(C103)-ROW(C$12),0))</f>
        <v>Tubo PVC soldável  25mm (com conexões), incluindo serviços de rasgo e enchimento de rasgo em alvenaria com argamassa para passagem de tubulação</v>
      </c>
      <c r="D103" s="129" t="str">
        <f ca="1">IF(OFFSET(PO!O$12,ROW(D103)-ROW(D$12),0)=0,"",OFFSET(PO!O$12,ROW(D103)-ROW(D$12),0))</f>
        <v>M</v>
      </c>
      <c r="E103" s="165">
        <f ca="1">IF($A103&lt;&gt;"Serviço",0,ROUND(SUMIF($F$9:$P$9,"&lt;&gt;",$F103:$P103),15-13*PO!$X$3))</f>
        <v>8</v>
      </c>
      <c r="F103" s="400">
        <f ca="1">OFFSET(PO!$P$12,ROW($E103)-ROW(F$12),0)</f>
        <v>8</v>
      </c>
      <c r="G103" s="400"/>
      <c r="H103" s="400"/>
      <c r="I103" s="400"/>
      <c r="J103" s="400"/>
      <c r="K103" s="400"/>
      <c r="L103" s="400"/>
      <c r="M103" s="400"/>
      <c r="N103" s="400"/>
      <c r="O103" s="400"/>
      <c r="U103" s="215"/>
    </row>
    <row r="104" spans="1:21" s="4" customFormat="1" ht="38.25" x14ac:dyDescent="0.2">
      <c r="A104" s="128" t="str">
        <f ca="1">OFFSET(PO!J$12,ROW(A104)-ROW($A$12),0)</f>
        <v>Serviço</v>
      </c>
      <c r="B104" s="130" t="str">
        <f ca="1">IF($A104=0,"",OFFSET(PO!K$12,ROW(B104)-ROW(B$12),0))</f>
        <v>1.11.0.0.3.</v>
      </c>
      <c r="C104" s="127" t="str">
        <f ca="1">IF(OFFSET(PO!N$12,ROW(C104)-ROW(C$12),0)=0,"",OFFSET(PO!N$12,ROW(C104)-ROW(C$12),0))</f>
        <v>Tubo PVC soldável  32mm (com conexões), incluindo serviços de rasgo e enchimento de rasgo em alvenaria com argamassa para passagem de tubulação</v>
      </c>
      <c r="D104" s="129" t="str">
        <f ca="1">IF(OFFSET(PO!O$12,ROW(D104)-ROW(D$12),0)=0,"",OFFSET(PO!O$12,ROW(D104)-ROW(D$12),0))</f>
        <v>M</v>
      </c>
      <c r="E104" s="165">
        <f ca="1">IF($A104&lt;&gt;"Serviço",0,ROUND(SUMIF($F$9:$P$9,"&lt;&gt;",$F104:$P104),15-13*PO!$X$3))</f>
        <v>3</v>
      </c>
      <c r="F104" s="400">
        <f ca="1">OFFSET(PO!$P$12,ROW($E104)-ROW(F$12),0)</f>
        <v>3</v>
      </c>
      <c r="G104" s="400"/>
      <c r="H104" s="400"/>
      <c r="I104" s="400"/>
      <c r="J104" s="400"/>
      <c r="K104" s="400"/>
      <c r="L104" s="400"/>
      <c r="M104" s="400"/>
      <c r="N104" s="400"/>
      <c r="O104" s="400"/>
      <c r="U104" s="215"/>
    </row>
    <row r="105" spans="1:21" s="4" customFormat="1" ht="38.25" x14ac:dyDescent="0.2">
      <c r="A105" s="128" t="str">
        <f ca="1">OFFSET(PO!J$12,ROW(A105)-ROW($A$12),0)</f>
        <v>Serviço</v>
      </c>
      <c r="B105" s="130" t="str">
        <f ca="1">IF($A105=0,"",OFFSET(PO!K$12,ROW(B105)-ROW(B$12),0))</f>
        <v>1.11.0.0.4.</v>
      </c>
      <c r="C105" s="127" t="str">
        <f ca="1">IF(OFFSET(PO!N$12,ROW(C105)-ROW(C$12),0)=0,"",OFFSET(PO!N$12,ROW(C105)-ROW(C$12),0))</f>
        <v>Tubo PVC soldável  40mm (com conexões), incluindo serviços de rasgo e enchimento de rasgo em alvenaria com argamassa para passagem de tubulação</v>
      </c>
      <c r="D105" s="129" t="str">
        <f ca="1">IF(OFFSET(PO!O$12,ROW(D105)-ROW(D$12),0)=0,"",OFFSET(PO!O$12,ROW(D105)-ROW(D$12),0))</f>
        <v>M</v>
      </c>
      <c r="E105" s="165">
        <f ca="1">IF($A105&lt;&gt;"Serviço",0,ROUND(SUMIF($F$9:$P$9,"&lt;&gt;",$F105:$P105),15-13*PO!$X$3))</f>
        <v>11</v>
      </c>
      <c r="F105" s="400">
        <f ca="1">OFFSET(PO!$P$12,ROW($E105)-ROW(F$12),0)</f>
        <v>11</v>
      </c>
      <c r="G105" s="400"/>
      <c r="H105" s="400"/>
      <c r="I105" s="400"/>
      <c r="J105" s="400"/>
      <c r="K105" s="400"/>
      <c r="L105" s="400"/>
      <c r="M105" s="400"/>
      <c r="N105" s="400"/>
      <c r="O105" s="400"/>
      <c r="U105" s="215"/>
    </row>
    <row r="106" spans="1:21" s="4" customFormat="1" ht="38.25" x14ac:dyDescent="0.2">
      <c r="A106" s="128" t="str">
        <f ca="1">OFFSET(PO!J$12,ROW(A106)-ROW($A$12),0)</f>
        <v>Serviço</v>
      </c>
      <c r="B106" s="130" t="str">
        <f ca="1">IF($A106=0,"",OFFSET(PO!K$12,ROW(B106)-ROW(B$12),0))</f>
        <v>1.11.0.0.5.</v>
      </c>
      <c r="C106" s="127" t="str">
        <f ca="1">IF(OFFSET(PO!N$12,ROW(C106)-ROW(C$12),0)=0,"",OFFSET(PO!N$12,ROW(C106)-ROW(C$12),0))</f>
        <v>Tubo PVC soldável  50mm (com conexões), incluindo serviços de rasgo e enchimento de rasgo em alvenaria com argamassa para passagem de tubulação</v>
      </c>
      <c r="D106" s="129" t="str">
        <f ca="1">IF(OFFSET(PO!O$12,ROW(D106)-ROW(D$12),0)=0,"",OFFSET(PO!O$12,ROW(D106)-ROW(D$12),0))</f>
        <v>M</v>
      </c>
      <c r="E106" s="165">
        <f ca="1">IF($A106&lt;&gt;"Serviço",0,ROUND(SUMIF($F$9:$P$9,"&lt;&gt;",$F106:$P106),15-13*PO!$X$3))</f>
        <v>4</v>
      </c>
      <c r="F106" s="400">
        <f ca="1">OFFSET(PO!$P$12,ROW($E106)-ROW(F$12),0)</f>
        <v>4</v>
      </c>
      <c r="G106" s="400"/>
      <c r="H106" s="400"/>
      <c r="I106" s="400"/>
      <c r="J106" s="400"/>
      <c r="K106" s="400"/>
      <c r="L106" s="400"/>
      <c r="M106" s="400"/>
      <c r="N106" s="400"/>
      <c r="O106" s="400"/>
      <c r="U106" s="215"/>
    </row>
    <row r="107" spans="1:21" s="4" customFormat="1" ht="38.25" x14ac:dyDescent="0.2">
      <c r="A107" s="128" t="str">
        <f ca="1">OFFSET(PO!J$12,ROW(A107)-ROW($A$12),0)</f>
        <v>Serviço</v>
      </c>
      <c r="B107" s="130" t="str">
        <f ca="1">IF($A107=0,"",OFFSET(PO!K$12,ROW(B107)-ROW(B$12),0))</f>
        <v>1.11.0.0.6.</v>
      </c>
      <c r="C107" s="127" t="str">
        <f ca="1">IF(OFFSET(PO!N$12,ROW(C107)-ROW(C$12),0)=0,"",OFFSET(PO!N$12,ROW(C107)-ROW(C$12),0))</f>
        <v>Tubo PVC soldável  60mm (com conexões), incluindo serviços de rasgo e enchimento de rasgo em alvenaria com argamassa para passagem de tubulação</v>
      </c>
      <c r="D107" s="129" t="str">
        <f ca="1">IF(OFFSET(PO!O$12,ROW(D107)-ROW(D$12),0)=0,"",OFFSET(PO!O$12,ROW(D107)-ROW(D$12),0))</f>
        <v>M</v>
      </c>
      <c r="E107" s="165">
        <f ca="1">IF($A107&lt;&gt;"Serviço",0,ROUND(SUMIF($F$9:$P$9,"&lt;&gt;",$F107:$P107),15-13*PO!$X$3))</f>
        <v>69</v>
      </c>
      <c r="F107" s="400">
        <f ca="1">OFFSET(PO!$P$12,ROW($E107)-ROW(F$12),0)</f>
        <v>69</v>
      </c>
      <c r="G107" s="400"/>
      <c r="H107" s="400"/>
      <c r="I107" s="400"/>
      <c r="J107" s="400"/>
      <c r="K107" s="400"/>
      <c r="L107" s="400"/>
      <c r="M107" s="400"/>
      <c r="N107" s="400"/>
      <c r="O107" s="400"/>
      <c r="U107" s="215"/>
    </row>
    <row r="108" spans="1:21" s="4" customFormat="1" ht="25.5" x14ac:dyDescent="0.2">
      <c r="A108" s="128" t="str">
        <f ca="1">OFFSET(PO!J$12,ROW(A108)-ROW($A$12),0)</f>
        <v>Serviço</v>
      </c>
      <c r="B108" s="130" t="str">
        <f ca="1">IF($A108=0,"",OFFSET(PO!K$12,ROW(B108)-ROW(B$12),0))</f>
        <v>1.11.0.0.7.</v>
      </c>
      <c r="C108" s="127" t="str">
        <f ca="1">IF(OFFSET(PO!N$12,ROW(C108)-ROW(C$12),0)=0,"",OFFSET(PO!N$12,ROW(C108)-ROW(C$12),0))</f>
        <v>Fornecimento, transporte e instalação de reservatório d´água: Em fibra de vidro cilíndrico com tampa, capacidade 15.000 litros</v>
      </c>
      <c r="D108" s="129" t="str">
        <f ca="1">IF(OFFSET(PO!O$12,ROW(D108)-ROW(D$12),0)=0,"",OFFSET(PO!O$12,ROW(D108)-ROW(D$12),0))</f>
        <v>UN</v>
      </c>
      <c r="E108" s="165">
        <f ca="1">IF($A108&lt;&gt;"Serviço",0,ROUND(SUMIF($F$9:$P$9,"&lt;&gt;",$F108:$P108),15-13*PO!$X$3))</f>
        <v>1</v>
      </c>
      <c r="F108" s="400">
        <f ca="1">OFFSET(PO!$P$12,ROW($E108)-ROW(F$12),0)</f>
        <v>1</v>
      </c>
      <c r="G108" s="400"/>
      <c r="H108" s="400"/>
      <c r="I108" s="400"/>
      <c r="J108" s="400"/>
      <c r="K108" s="400"/>
      <c r="L108" s="400"/>
      <c r="M108" s="400"/>
      <c r="N108" s="400"/>
      <c r="O108" s="400"/>
      <c r="U108" s="215"/>
    </row>
    <row r="109" spans="1:21" s="4" customFormat="1" x14ac:dyDescent="0.2">
      <c r="A109" s="128" t="str">
        <f ca="1">OFFSET(PO!J$12,ROW(A109)-ROW($A$12),0)</f>
        <v>Nível 2</v>
      </c>
      <c r="B109" s="130" t="str">
        <f ca="1">IF($A109=0,"",OFFSET(PO!K$12,ROW(B109)-ROW(B$12),0))</f>
        <v>1.12.</v>
      </c>
      <c r="C109" s="127" t="str">
        <f ca="1">IF(OFFSET(PO!N$12,ROW(C109)-ROW(C$12),0)=0,"",OFFSET(PO!N$12,ROW(C109)-ROW(C$12),0))</f>
        <v>INSTALAÇÕES SANITÁRIAS</v>
      </c>
      <c r="D109" s="129" t="str">
        <f ca="1">IF(OFFSET(PO!O$12,ROW(D109)-ROW(D$12),0)=0,"",OFFSET(PO!O$12,ROW(D109)-ROW(D$12),0))</f>
        <v/>
      </c>
      <c r="E109" s="165">
        <f ca="1">IF($A109&lt;&gt;"Serviço",0,ROUND(SUMIF($F$9:$P$9,"&lt;&gt;",$F109:$P109),15-13*PO!$X$3))</f>
        <v>0</v>
      </c>
      <c r="F109" s="400">
        <f ca="1">OFFSET(PO!$P$12,ROW($E109)-ROW(F$12),0)</f>
        <v>0</v>
      </c>
      <c r="G109" s="400"/>
      <c r="H109" s="400"/>
      <c r="I109" s="400"/>
      <c r="J109" s="400"/>
      <c r="K109" s="400"/>
      <c r="L109" s="400"/>
      <c r="M109" s="400"/>
      <c r="N109" s="400"/>
      <c r="O109" s="400"/>
      <c r="U109" s="215"/>
    </row>
    <row r="110" spans="1:21" s="4" customFormat="1" ht="25.5" x14ac:dyDescent="0.2">
      <c r="A110" s="128" t="str">
        <f ca="1">OFFSET(PO!J$12,ROW(A110)-ROW($A$12),0)</f>
        <v>Nível 3</v>
      </c>
      <c r="B110" s="130" t="str">
        <f ca="1">IF($A110=0,"",OFFSET(PO!K$12,ROW(B110)-ROW(B$12),0))</f>
        <v>1.12.1.</v>
      </c>
      <c r="C110" s="127" t="str">
        <f ca="1">IF(OFFSET(PO!N$12,ROW(C110)-ROW(C$12),0)=0,"",OFFSET(PO!N$12,ROW(C110)-ROW(C$12),0))</f>
        <v>Fornecimento,transporte e instalação de tubulação em PVC esgoto diâmetros descritos:</v>
      </c>
      <c r="D110" s="129" t="str">
        <f ca="1">IF(OFFSET(PO!O$12,ROW(D110)-ROW(D$12),0)=0,"",OFFSET(PO!O$12,ROW(D110)-ROW(D$12),0))</f>
        <v/>
      </c>
      <c r="E110" s="165">
        <f ca="1">IF($A110&lt;&gt;"Serviço",0,ROUND(SUMIF($F$9:$P$9,"&lt;&gt;",$F110:$P110),15-13*PO!$X$3))</f>
        <v>0</v>
      </c>
      <c r="F110" s="400">
        <f ca="1">OFFSET(PO!$P$12,ROW($E110)-ROW(F$12),0)</f>
        <v>0</v>
      </c>
      <c r="G110" s="400"/>
      <c r="H110" s="400"/>
      <c r="I110" s="400"/>
      <c r="J110" s="400"/>
      <c r="K110" s="400"/>
      <c r="L110" s="400"/>
      <c r="M110" s="400"/>
      <c r="N110" s="400"/>
      <c r="O110" s="400"/>
      <c r="U110" s="215"/>
    </row>
    <row r="111" spans="1:21" s="4" customFormat="1" x14ac:dyDescent="0.2">
      <c r="A111" s="128" t="str">
        <f ca="1">OFFSET(PO!J$12,ROW(A111)-ROW($A$12),0)</f>
        <v>Serviço</v>
      </c>
      <c r="B111" s="130" t="str">
        <f ca="1">IF($A111=0,"",OFFSET(PO!K$12,ROW(B111)-ROW(B$12),0))</f>
        <v>1.12.1.0.1.</v>
      </c>
      <c r="C111" s="127" t="str">
        <f ca="1">IF(OFFSET(PO!N$12,ROW(C111)-ROW(C$12),0)=0,"",OFFSET(PO!N$12,ROW(C111)-ROW(C$12),0))</f>
        <v>Diâmetro de 40 mm</v>
      </c>
      <c r="D111" s="129" t="str">
        <f ca="1">IF(OFFSET(PO!O$12,ROW(D111)-ROW(D$12),0)=0,"",OFFSET(PO!O$12,ROW(D111)-ROW(D$12),0))</f>
        <v>M</v>
      </c>
      <c r="E111" s="165">
        <f ca="1">IF($A111&lt;&gt;"Serviço",0,ROUND(SUMIF($F$9:$P$9,"&lt;&gt;",$F111:$P111),15-13*PO!$X$3))</f>
        <v>28</v>
      </c>
      <c r="F111" s="400">
        <f ca="1">OFFSET(PO!$P$12,ROW($E111)-ROW(F$12),0)</f>
        <v>28</v>
      </c>
      <c r="G111" s="400"/>
      <c r="H111" s="400"/>
      <c r="I111" s="400"/>
      <c r="J111" s="400"/>
      <c r="K111" s="400"/>
      <c r="L111" s="400"/>
      <c r="M111" s="400"/>
      <c r="N111" s="400"/>
      <c r="O111" s="400"/>
      <c r="U111" s="215"/>
    </row>
    <row r="112" spans="1:21" s="4" customFormat="1" x14ac:dyDescent="0.2">
      <c r="A112" s="128" t="str">
        <f ca="1">OFFSET(PO!J$12,ROW(A112)-ROW($A$12),0)</f>
        <v>Serviço</v>
      </c>
      <c r="B112" s="130" t="str">
        <f ca="1">IF($A112=0,"",OFFSET(PO!K$12,ROW(B112)-ROW(B$12),0))</f>
        <v>1.12.1.0.2.</v>
      </c>
      <c r="C112" s="127" t="str">
        <f ca="1">IF(OFFSET(PO!N$12,ROW(C112)-ROW(C$12),0)=0,"",OFFSET(PO!N$12,ROW(C112)-ROW(C$12),0))</f>
        <v xml:space="preserve">Diâmetro de 50 mm </v>
      </c>
      <c r="D112" s="129" t="str">
        <f ca="1">IF(OFFSET(PO!O$12,ROW(D112)-ROW(D$12),0)=0,"",OFFSET(PO!O$12,ROW(D112)-ROW(D$12),0))</f>
        <v>M</v>
      </c>
      <c r="E112" s="165">
        <f ca="1">IF($A112&lt;&gt;"Serviço",0,ROUND(SUMIF($F$9:$P$9,"&lt;&gt;",$F112:$P112),15-13*PO!$X$3))</f>
        <v>25</v>
      </c>
      <c r="F112" s="400">
        <f ca="1">OFFSET(PO!$P$12,ROW($E112)-ROW(F$12),0)</f>
        <v>25</v>
      </c>
      <c r="G112" s="400"/>
      <c r="H112" s="400"/>
      <c r="I112" s="400"/>
      <c r="J112" s="400"/>
      <c r="K112" s="400"/>
      <c r="L112" s="400"/>
      <c r="M112" s="400"/>
      <c r="N112" s="400"/>
      <c r="O112" s="400"/>
      <c r="U112" s="215"/>
    </row>
    <row r="113" spans="1:21" s="4" customFormat="1" x14ac:dyDescent="0.2">
      <c r="A113" s="128" t="str">
        <f ca="1">OFFSET(PO!J$12,ROW(A113)-ROW($A$12),0)</f>
        <v>Serviço</v>
      </c>
      <c r="B113" s="130" t="str">
        <f ca="1">IF($A113=0,"",OFFSET(PO!K$12,ROW(B113)-ROW(B$12),0))</f>
        <v>1.12.1.0.3.</v>
      </c>
      <c r="C113" s="127" t="str">
        <f ca="1">IF(OFFSET(PO!N$12,ROW(C113)-ROW(C$12),0)=0,"",OFFSET(PO!N$12,ROW(C113)-ROW(C$12),0))</f>
        <v>Diâmetro de 100 mm</v>
      </c>
      <c r="D113" s="129" t="str">
        <f ca="1">IF(OFFSET(PO!O$12,ROW(D113)-ROW(D$12),0)=0,"",OFFSET(PO!O$12,ROW(D113)-ROW(D$12),0))</f>
        <v>M</v>
      </c>
      <c r="E113" s="165">
        <f ca="1">IF($A113&lt;&gt;"Serviço",0,ROUND(SUMIF($F$9:$P$9,"&lt;&gt;",$F113:$P113),15-13*PO!$X$3))</f>
        <v>77</v>
      </c>
      <c r="F113" s="400">
        <f ca="1">OFFSET(PO!$P$12,ROW($E113)-ROW(F$12),0)</f>
        <v>77</v>
      </c>
      <c r="G113" s="400"/>
      <c r="H113" s="400"/>
      <c r="I113" s="400"/>
      <c r="J113" s="400"/>
      <c r="K113" s="400"/>
      <c r="L113" s="400"/>
      <c r="M113" s="400"/>
      <c r="N113" s="400"/>
      <c r="O113" s="400"/>
      <c r="U113" s="215"/>
    </row>
    <row r="114" spans="1:21" s="4" customFormat="1" x14ac:dyDescent="0.2">
      <c r="A114" s="128" t="str">
        <f ca="1">OFFSET(PO!J$12,ROW(A114)-ROW($A$12),0)</f>
        <v>Serviço</v>
      </c>
      <c r="B114" s="130" t="str">
        <f ca="1">IF($A114=0,"",OFFSET(PO!K$12,ROW(B114)-ROW(B$12),0))</f>
        <v>1.12.1.0.4.</v>
      </c>
      <c r="C114" s="127" t="str">
        <f ca="1">IF(OFFSET(PO!N$12,ROW(C114)-ROW(C$12),0)=0,"",OFFSET(PO!N$12,ROW(C114)-ROW(C$12),0))</f>
        <v>Diâmetro de 150 mm</v>
      </c>
      <c r="D114" s="129" t="str">
        <f ca="1">IF(OFFSET(PO!O$12,ROW(D114)-ROW(D$12),0)=0,"",OFFSET(PO!O$12,ROW(D114)-ROW(D$12),0))</f>
        <v>M</v>
      </c>
      <c r="E114" s="165">
        <f ca="1">IF($A114&lt;&gt;"Serviço",0,ROUND(SUMIF($F$9:$P$9,"&lt;&gt;",$F114:$P114),15-13*PO!$X$3))</f>
        <v>2</v>
      </c>
      <c r="F114" s="400">
        <f ca="1">OFFSET(PO!$P$12,ROW($E114)-ROW(F$12),0)</f>
        <v>2</v>
      </c>
      <c r="G114" s="400"/>
      <c r="H114" s="400"/>
      <c r="I114" s="400"/>
      <c r="J114" s="400"/>
      <c r="K114" s="400"/>
      <c r="L114" s="400"/>
      <c r="M114" s="400"/>
      <c r="N114" s="400"/>
      <c r="O114" s="400"/>
      <c r="U114" s="215"/>
    </row>
    <row r="115" spans="1:21" s="4" customFormat="1" ht="25.5" x14ac:dyDescent="0.2">
      <c r="A115" s="128" t="str">
        <f ca="1">OFFSET(PO!J$12,ROW(A115)-ROW($A$12),0)</f>
        <v>Serviço</v>
      </c>
      <c r="B115" s="130" t="str">
        <f ca="1">IF($A115=0,"",OFFSET(PO!K$12,ROW(B115)-ROW(B$12),0))</f>
        <v>1.12.1.0.5.</v>
      </c>
      <c r="C115" s="127" t="str">
        <f ca="1">IF(OFFSET(PO!N$12,ROW(C115)-ROW(C$12),0)=0,"",OFFSET(PO!N$12,ROW(C115)-ROW(C$12),0))</f>
        <v>Fornecimento e instalação de caixa sifonada: Em PVC, com grelha quadrada/redonda,150x150x75mm</v>
      </c>
      <c r="D115" s="129" t="str">
        <f ca="1">IF(OFFSET(PO!O$12,ROW(D115)-ROW(D$12),0)=0,"",OFFSET(PO!O$12,ROW(D115)-ROW(D$12),0))</f>
        <v>Und</v>
      </c>
      <c r="E115" s="165">
        <f ca="1">IF($A115&lt;&gt;"Serviço",0,ROUND(SUMIF($F$9:$P$9,"&lt;&gt;",$F115:$P115),15-13*PO!$X$3))</f>
        <v>4</v>
      </c>
      <c r="F115" s="400">
        <f ca="1">OFFSET(PO!$P$12,ROW($E115)-ROW(F$12),0)</f>
        <v>4</v>
      </c>
      <c r="G115" s="400"/>
      <c r="H115" s="400"/>
      <c r="I115" s="400"/>
      <c r="J115" s="400"/>
      <c r="K115" s="400"/>
      <c r="L115" s="400"/>
      <c r="M115" s="400"/>
      <c r="N115" s="400"/>
      <c r="O115" s="400"/>
      <c r="U115" s="215"/>
    </row>
    <row r="116" spans="1:21" s="4" customFormat="1" x14ac:dyDescent="0.2">
      <c r="A116" s="128" t="str">
        <f ca="1">OFFSET(PO!J$12,ROW(A116)-ROW($A$12),0)</f>
        <v>Serviço</v>
      </c>
      <c r="B116" s="130" t="str">
        <f ca="1">IF($A116=0,"",OFFSET(PO!K$12,ROW(B116)-ROW(B$12),0))</f>
        <v>1.12.1.0.6.</v>
      </c>
      <c r="C116" s="127" t="str">
        <f ca="1">IF(OFFSET(PO!N$12,ROW(C116)-ROW(C$12),0)=0,"",OFFSET(PO!N$12,ROW(C116)-ROW(C$12),0))</f>
        <v>Ralo Seco PVC quadrado 100 X 40mm com grelha branca</v>
      </c>
      <c r="D116" s="129" t="str">
        <f ca="1">IF(OFFSET(PO!O$12,ROW(D116)-ROW(D$12),0)=0,"",OFFSET(PO!O$12,ROW(D116)-ROW(D$12),0))</f>
        <v>Und</v>
      </c>
      <c r="E116" s="165">
        <f ca="1">IF($A116&lt;&gt;"Serviço",0,ROUND(SUMIF($F$9:$P$9,"&lt;&gt;",$F116:$P116),15-13*PO!$X$3))</f>
        <v>4</v>
      </c>
      <c r="F116" s="400">
        <f ca="1">OFFSET(PO!$P$12,ROW($E116)-ROW(F$12),0)</f>
        <v>4</v>
      </c>
      <c r="G116" s="400"/>
      <c r="H116" s="400"/>
      <c r="I116" s="400"/>
      <c r="J116" s="400"/>
      <c r="K116" s="400"/>
      <c r="L116" s="400"/>
      <c r="M116" s="400"/>
      <c r="N116" s="400"/>
      <c r="O116" s="400"/>
      <c r="U116" s="215"/>
    </row>
    <row r="117" spans="1:21" s="4" customFormat="1" ht="25.5" x14ac:dyDescent="0.2">
      <c r="A117" s="128" t="str">
        <f ca="1">OFFSET(PO!J$12,ROW(A117)-ROW($A$12),0)</f>
        <v>Serviço</v>
      </c>
      <c r="B117" s="130" t="str">
        <f ca="1">IF($A117=0,"",OFFSET(PO!K$12,ROW(B117)-ROW(B$12),0))</f>
        <v>1.12.1.0.7.</v>
      </c>
      <c r="C117" s="127" t="str">
        <f ca="1">IF(OFFSET(PO!N$12,ROW(C117)-ROW(C$12),0)=0,"",OFFSET(PO!N$12,ROW(C117)-ROW(C$12),0))</f>
        <v>Caixa de Inspeção ou passagem em alvenaria  60 X 60 X 60 cm, inclusive tampa em concreto, escavação, reaterro e bota-fora</v>
      </c>
      <c r="D117" s="129" t="str">
        <f ca="1">IF(OFFSET(PO!O$12,ROW(D117)-ROW(D$12),0)=0,"",OFFSET(PO!O$12,ROW(D117)-ROW(D$12),0))</f>
        <v>Und</v>
      </c>
      <c r="E117" s="165">
        <f ca="1">IF($A117&lt;&gt;"Serviço",0,ROUND(SUMIF($F$9:$P$9,"&lt;&gt;",$F117:$P117),15-13*PO!$X$3))</f>
        <v>10</v>
      </c>
      <c r="F117" s="400">
        <f ca="1">OFFSET(PO!$P$12,ROW($E117)-ROW(F$12),0)</f>
        <v>10</v>
      </c>
      <c r="G117" s="400"/>
      <c r="H117" s="400"/>
      <c r="I117" s="400"/>
      <c r="J117" s="400"/>
      <c r="K117" s="400"/>
      <c r="L117" s="400"/>
      <c r="M117" s="400"/>
      <c r="N117" s="400"/>
      <c r="O117" s="400"/>
      <c r="U117" s="215"/>
    </row>
    <row r="118" spans="1:21" s="4" customFormat="1" x14ac:dyDescent="0.2">
      <c r="A118" s="128" t="str">
        <f ca="1">OFFSET(PO!J$12,ROW(A118)-ROW($A$12),0)</f>
        <v>Serviço</v>
      </c>
      <c r="B118" s="130" t="str">
        <f ca="1">IF($A118=0,"",OFFSET(PO!K$12,ROW(B118)-ROW(B$12),0))</f>
        <v>1.12.1.0.8.</v>
      </c>
      <c r="C118" s="127" t="str">
        <f ca="1">IF(OFFSET(PO!N$12,ROW(C118)-ROW(C$12),0)=0,"",OFFSET(PO!N$12,ROW(C118)-ROW(C$12),0))</f>
        <v>Caixa de gordura préfabricada simples volume de 120 litros.</v>
      </c>
      <c r="D118" s="129" t="str">
        <f ca="1">IF(OFFSET(PO!O$12,ROW(D118)-ROW(D$12),0)=0,"",OFFSET(PO!O$12,ROW(D118)-ROW(D$12),0))</f>
        <v>Und</v>
      </c>
      <c r="E118" s="165">
        <f ca="1">IF($A118&lt;&gt;"Serviço",0,ROUND(SUMIF($F$9:$P$9,"&lt;&gt;",$F118:$P118),15-13*PO!$X$3))</f>
        <v>1</v>
      </c>
      <c r="F118" s="400">
        <f ca="1">OFFSET(PO!$P$12,ROW($E118)-ROW(F$12),0)</f>
        <v>1</v>
      </c>
      <c r="G118" s="400"/>
      <c r="H118" s="400"/>
      <c r="I118" s="400"/>
      <c r="J118" s="400"/>
      <c r="K118" s="400"/>
      <c r="L118" s="400"/>
      <c r="M118" s="400"/>
      <c r="N118" s="400"/>
      <c r="O118" s="400"/>
      <c r="U118" s="215"/>
    </row>
    <row r="119" spans="1:21" s="4" customFormat="1" x14ac:dyDescent="0.2">
      <c r="A119" s="128" t="str">
        <f ca="1">OFFSET(PO!J$12,ROW(A119)-ROW($A$12),0)</f>
        <v>Nível 3</v>
      </c>
      <c r="B119" s="130" t="str">
        <f ca="1">IF($A119=0,"",OFFSET(PO!K$12,ROW(B119)-ROW(B$12),0))</f>
        <v>1.12.2.</v>
      </c>
      <c r="C119" s="127" t="str">
        <f ca="1">IF(OFFSET(PO!N$12,ROW(C119)-ROW(C$12),0)=0,"",OFFSET(PO!N$12,ROW(C119)-ROW(C$12),0))</f>
        <v>FOSSAS, FILTROS, CAIXAS E SUMIDOUROS</v>
      </c>
      <c r="D119" s="129" t="str">
        <f ca="1">IF(OFFSET(PO!O$12,ROW(D119)-ROW(D$12),0)=0,"",OFFSET(PO!O$12,ROW(D119)-ROW(D$12),0))</f>
        <v/>
      </c>
      <c r="E119" s="165">
        <f ca="1">IF($A119&lt;&gt;"Serviço",0,ROUND(SUMIF($F$9:$P$9,"&lt;&gt;",$F119:$P119),15-13*PO!$X$3))</f>
        <v>0</v>
      </c>
      <c r="F119" s="400">
        <f ca="1">OFFSET(PO!$P$12,ROW($E119)-ROW(F$12),0)</f>
        <v>0</v>
      </c>
      <c r="G119" s="400"/>
      <c r="H119" s="400"/>
      <c r="I119" s="400"/>
      <c r="J119" s="400"/>
      <c r="K119" s="400"/>
      <c r="L119" s="400"/>
      <c r="M119" s="400"/>
      <c r="N119" s="400"/>
      <c r="O119" s="400"/>
      <c r="U119" s="215"/>
    </row>
    <row r="120" spans="1:21" s="4" customFormat="1" ht="25.5" x14ac:dyDescent="0.2">
      <c r="A120" s="128" t="str">
        <f ca="1">OFFSET(PO!J$12,ROW(A120)-ROW($A$12),0)</f>
        <v>Serviço</v>
      </c>
      <c r="B120" s="130" t="str">
        <f ca="1">IF($A120=0,"",OFFSET(PO!K$12,ROW(B120)-ROW(B$12),0))</f>
        <v>1.12.2.0.1.</v>
      </c>
      <c r="C120" s="127" t="str">
        <f ca="1">IF(OFFSET(PO!N$12,ROW(C120)-ROW(C$12),0)=0,"",OFFSET(PO!N$12,ROW(C120)-ROW(C$12),0))</f>
        <v>Fossa séptica L=3,80m execução in-loco volume útil 9,58m³ (226 contribuintes por turno)</v>
      </c>
      <c r="D120" s="129" t="str">
        <f ca="1">IF(OFFSET(PO!O$12,ROW(D120)-ROW(D$12),0)=0,"",OFFSET(PO!O$12,ROW(D120)-ROW(D$12),0))</f>
        <v>Und</v>
      </c>
      <c r="E120" s="165">
        <f ca="1">IF($A120&lt;&gt;"Serviço",0,ROUND(SUMIF($F$9:$P$9,"&lt;&gt;",$F120:$P120),15-13*PO!$X$3))</f>
        <v>1</v>
      </c>
      <c r="F120" s="400">
        <f ca="1">OFFSET(PO!$P$12,ROW($E120)-ROW(F$12),0)</f>
        <v>1</v>
      </c>
      <c r="G120" s="400"/>
      <c r="H120" s="400"/>
      <c r="I120" s="400"/>
      <c r="J120" s="400"/>
      <c r="K120" s="400"/>
      <c r="L120" s="400"/>
      <c r="M120" s="400"/>
      <c r="N120" s="400"/>
      <c r="O120" s="400"/>
      <c r="U120" s="215"/>
    </row>
    <row r="121" spans="1:21" s="4" customFormat="1" x14ac:dyDescent="0.2">
      <c r="A121" s="128" t="str">
        <f ca="1">OFFSET(PO!J$12,ROW(A121)-ROW($A$12),0)</f>
        <v>Serviço</v>
      </c>
      <c r="B121" s="130" t="str">
        <f ca="1">IF($A121=0,"",OFFSET(PO!K$12,ROW(B121)-ROW(B$12),0))</f>
        <v>1.12.2.0.2.</v>
      </c>
      <c r="C121" s="127" t="str">
        <f ca="1">IF(OFFSET(PO!N$12,ROW(C121)-ROW(C$12),0)=0,"",OFFSET(PO!N$12,ROW(C121)-ROW(C$12),0))</f>
        <v>Execução filtro anaeróbio; Filtro anaeróbio DN 1,50m H 2,00m</v>
      </c>
      <c r="D121" s="129" t="str">
        <f ca="1">IF(OFFSET(PO!O$12,ROW(D121)-ROW(D$12),0)=0,"",OFFSET(PO!O$12,ROW(D121)-ROW(D$12),0))</f>
        <v>M²</v>
      </c>
      <c r="E121" s="165">
        <f ca="1">IF($A121&lt;&gt;"Serviço",0,ROUND(SUMIF($F$9:$P$9,"&lt;&gt;",$F121:$P121),15-13*PO!$X$3))</f>
        <v>1</v>
      </c>
      <c r="F121" s="400">
        <f ca="1">OFFSET(PO!$P$12,ROW($E121)-ROW(F$12),0)</f>
        <v>1</v>
      </c>
      <c r="G121" s="400"/>
      <c r="H121" s="400"/>
      <c r="I121" s="400"/>
      <c r="J121" s="400"/>
      <c r="K121" s="400"/>
      <c r="L121" s="400"/>
      <c r="M121" s="400"/>
      <c r="N121" s="400"/>
      <c r="O121" s="400"/>
      <c r="U121" s="215"/>
    </row>
    <row r="122" spans="1:21" s="4" customFormat="1" x14ac:dyDescent="0.2">
      <c r="A122" s="128" t="str">
        <f ca="1">OFFSET(PO!J$12,ROW(A122)-ROW($A$12),0)</f>
        <v>Serviço</v>
      </c>
      <c r="B122" s="130" t="str">
        <f ca="1">IF($A122=0,"",OFFSET(PO!K$12,ROW(B122)-ROW(B$12),0))</f>
        <v>1.12.2.0.3.</v>
      </c>
      <c r="C122" s="127" t="str">
        <f ca="1">IF(OFFSET(PO!N$12,ROW(C122)-ROW(C$12),0)=0,"",OFFSET(PO!N$12,ROW(C122)-ROW(C$12),0))</f>
        <v>Sumidouro (poço absorvente) DN 2,50m</v>
      </c>
      <c r="D122" s="129" t="str">
        <f ca="1">IF(OFFSET(PO!O$12,ROW(D122)-ROW(D$12),0)=0,"",OFFSET(PO!O$12,ROW(D122)-ROW(D$12),0))</f>
        <v>Und</v>
      </c>
      <c r="E122" s="165">
        <f ca="1">IF($A122&lt;&gt;"Serviço",0,ROUND(SUMIF($F$9:$P$9,"&lt;&gt;",$F122:$P122),15-13*PO!$X$3))</f>
        <v>4</v>
      </c>
      <c r="F122" s="400">
        <f ca="1">OFFSET(PO!$P$12,ROW($E122)-ROW(F$12),0)</f>
        <v>4</v>
      </c>
      <c r="G122" s="400"/>
      <c r="H122" s="400"/>
      <c r="I122" s="400"/>
      <c r="J122" s="400"/>
      <c r="K122" s="400"/>
      <c r="L122" s="400"/>
      <c r="M122" s="400"/>
      <c r="N122" s="400"/>
      <c r="O122" s="400"/>
      <c r="U122" s="215"/>
    </row>
    <row r="123" spans="1:21" s="4" customFormat="1" ht="25.5" x14ac:dyDescent="0.2">
      <c r="A123" s="128" t="str">
        <f ca="1">OFFSET(PO!J$12,ROW(A123)-ROW($A$12),0)</f>
        <v>Serviço</v>
      </c>
      <c r="B123" s="130" t="str">
        <f ca="1">IF($A123=0,"",OFFSET(PO!K$12,ROW(B123)-ROW(B$12),0))</f>
        <v>1.12.2.0.4.</v>
      </c>
      <c r="C123" s="127" t="str">
        <f ca="1">IF(OFFSET(PO!N$12,ROW(C123)-ROW(C$12),0)=0,"",OFFSET(PO!N$12,ROW(C123)-ROW(C$12),0))</f>
        <v>Canaleta em tubo de concreto meia-cana para águas pluviais Ø 300 mm</v>
      </c>
      <c r="D123" s="129" t="str">
        <f ca="1">IF(OFFSET(PO!O$12,ROW(D123)-ROW(D$12),0)=0,"",OFFSET(PO!O$12,ROW(D123)-ROW(D$12),0))</f>
        <v>M</v>
      </c>
      <c r="E123" s="165">
        <f ca="1">IF($A123&lt;&gt;"Serviço",0,ROUND(SUMIF($F$9:$P$9,"&lt;&gt;",$F123:$P123),15-13*PO!$X$3))</f>
        <v>8.42</v>
      </c>
      <c r="F123" s="400">
        <f ca="1">OFFSET(PO!$P$12,ROW($E123)-ROW(F$12),0)</f>
        <v>8.42</v>
      </c>
      <c r="G123" s="400"/>
      <c r="H123" s="400"/>
      <c r="I123" s="400"/>
      <c r="J123" s="400"/>
      <c r="K123" s="400"/>
      <c r="L123" s="400"/>
      <c r="M123" s="400"/>
      <c r="N123" s="400"/>
      <c r="O123" s="400"/>
      <c r="U123" s="215"/>
    </row>
    <row r="124" spans="1:21" s="4" customFormat="1" ht="25.5" x14ac:dyDescent="0.2">
      <c r="A124" s="128" t="str">
        <f ca="1">OFFSET(PO!J$12,ROW(A124)-ROW($A$12),0)</f>
        <v>Serviço</v>
      </c>
      <c r="B124" s="130" t="str">
        <f ca="1">IF($A124=0,"",OFFSET(PO!K$12,ROW(B124)-ROW(B$12),0))</f>
        <v>1.12.2.0.5.</v>
      </c>
      <c r="C124" s="127" t="str">
        <f ca="1">IF(OFFSET(PO!N$12,ROW(C124)-ROW(C$12),0)=0,"",OFFSET(PO!N$12,ROW(C124)-ROW(C$12),0))</f>
        <v>Tampa de concreto pré-moldada perfurada para canaleta, largura 35 cm</v>
      </c>
      <c r="D124" s="129" t="str">
        <f ca="1">IF(OFFSET(PO!O$12,ROW(D124)-ROW(D$12),0)=0,"",OFFSET(PO!O$12,ROW(D124)-ROW(D$12),0))</f>
        <v>M</v>
      </c>
      <c r="E124" s="165">
        <f ca="1">IF($A124&lt;&gt;"Serviço",0,ROUND(SUMIF($F$9:$P$9,"&lt;&gt;",$F124:$P124),15-13*PO!$X$3))</f>
        <v>8.42</v>
      </c>
      <c r="F124" s="400">
        <f ca="1">OFFSET(PO!$P$12,ROW($E124)-ROW(F$12),0)</f>
        <v>8.42</v>
      </c>
      <c r="G124" s="400"/>
      <c r="H124" s="400"/>
      <c r="I124" s="400"/>
      <c r="J124" s="400"/>
      <c r="K124" s="400"/>
      <c r="L124" s="400"/>
      <c r="M124" s="400"/>
      <c r="N124" s="400"/>
      <c r="O124" s="400"/>
      <c r="U124" s="215"/>
    </row>
    <row r="125" spans="1:21" s="4" customFormat="1" x14ac:dyDescent="0.2">
      <c r="A125" s="128" t="str">
        <f ca="1">OFFSET(PO!J$12,ROW(A125)-ROW($A$12),0)</f>
        <v>Nível 2</v>
      </c>
      <c r="B125" s="130" t="str">
        <f ca="1">IF($A125=0,"",OFFSET(PO!K$12,ROW(B125)-ROW(B$12),0))</f>
        <v>1.13.</v>
      </c>
      <c r="C125" s="127" t="str">
        <f ca="1">IF(OFFSET(PO!N$12,ROW(C125)-ROW(C$12),0)=0,"",OFFSET(PO!N$12,ROW(C125)-ROW(C$12),0))</f>
        <v>LOUÇAS ACESSÓRIOS E METAIS</v>
      </c>
      <c r="D125" s="129" t="str">
        <f ca="1">IF(OFFSET(PO!O$12,ROW(D125)-ROW(D$12),0)=0,"",OFFSET(PO!O$12,ROW(D125)-ROW(D$12),0))</f>
        <v/>
      </c>
      <c r="E125" s="165">
        <f ca="1">IF($A125&lt;&gt;"Serviço",0,ROUND(SUMIF($F$9:$P$9,"&lt;&gt;",$F125:$P125),15-13*PO!$X$3))</f>
        <v>0</v>
      </c>
      <c r="F125" s="400">
        <f ca="1">OFFSET(PO!$P$12,ROW($E125)-ROW(F$12),0)</f>
        <v>0</v>
      </c>
      <c r="G125" s="400"/>
      <c r="H125" s="400"/>
      <c r="I125" s="400"/>
      <c r="J125" s="400"/>
      <c r="K125" s="400"/>
      <c r="L125" s="400"/>
      <c r="M125" s="400"/>
      <c r="N125" s="400"/>
      <c r="O125" s="400"/>
      <c r="U125" s="215"/>
    </row>
    <row r="126" spans="1:21" s="4" customFormat="1" x14ac:dyDescent="0.2">
      <c r="A126" s="128" t="str">
        <f ca="1">OFFSET(PO!J$12,ROW(A126)-ROW($A$12),0)</f>
        <v>Serviço</v>
      </c>
      <c r="B126" s="130" t="str">
        <f ca="1">IF($A126=0,"",OFFSET(PO!K$12,ROW(B126)-ROW(B$12),0))</f>
        <v>1.13.0.0.1.</v>
      </c>
      <c r="C126" s="127" t="str">
        <f ca="1">IF(OFFSET(PO!N$12,ROW(C126)-ROW(C$12),0)=0,"",OFFSET(PO!N$12,ROW(C126)-ROW(C$12),0))</f>
        <v>Ducha higiênica com registro para controle do fluxo de água 1/2"</v>
      </c>
      <c r="D126" s="129" t="str">
        <f ca="1">IF(OFFSET(PO!O$12,ROW(D126)-ROW(D$12),0)=0,"",OFFSET(PO!O$12,ROW(D126)-ROW(D$12),0))</f>
        <v>UN</v>
      </c>
      <c r="E126" s="165">
        <f ca="1">IF($A126&lt;&gt;"Serviço",0,ROUND(SUMIF($F$9:$P$9,"&lt;&gt;",$F126:$P126),15-13*PO!$X$3))</f>
        <v>2</v>
      </c>
      <c r="F126" s="400">
        <f ca="1">OFFSET(PO!$P$12,ROW($E126)-ROW(F$12),0)</f>
        <v>2</v>
      </c>
      <c r="G126" s="400"/>
      <c r="H126" s="400"/>
      <c r="I126" s="400"/>
      <c r="J126" s="400"/>
      <c r="K126" s="400"/>
      <c r="L126" s="400"/>
      <c r="M126" s="400"/>
      <c r="N126" s="400"/>
      <c r="O126" s="400"/>
      <c r="U126" s="215"/>
    </row>
    <row r="127" spans="1:21" s="4" customFormat="1" x14ac:dyDescent="0.2">
      <c r="A127" s="128" t="str">
        <f ca="1">OFFSET(PO!J$12,ROW(A127)-ROW($A$12),0)</f>
        <v>Serviço</v>
      </c>
      <c r="B127" s="130" t="str">
        <f ca="1">IF($A127=0,"",OFFSET(PO!K$12,ROW(B127)-ROW(B$12),0))</f>
        <v>1.13.0.0.2.</v>
      </c>
      <c r="C127" s="127" t="str">
        <f ca="1">IF(OFFSET(PO!N$12,ROW(C127)-ROW(C$12),0)=0,"",OFFSET(PO!N$12,ROW(C127)-ROW(C$12),0))</f>
        <v>Vaso sanitário convencional branca.</v>
      </c>
      <c r="D127" s="129" t="str">
        <f ca="1">IF(OFFSET(PO!O$12,ROW(D127)-ROW(D$12),0)=0,"",OFFSET(PO!O$12,ROW(D127)-ROW(D$12),0))</f>
        <v>UN</v>
      </c>
      <c r="E127" s="165">
        <f ca="1">IF($A127&lt;&gt;"Serviço",0,ROUND(SUMIF($F$9:$P$9,"&lt;&gt;",$F127:$P127),15-13*PO!$X$3))</f>
        <v>5</v>
      </c>
      <c r="F127" s="400">
        <f ca="1">OFFSET(PO!$P$12,ROW($E127)-ROW(F$12),0)</f>
        <v>5</v>
      </c>
      <c r="G127" s="400"/>
      <c r="H127" s="400"/>
      <c r="I127" s="400"/>
      <c r="J127" s="400"/>
      <c r="K127" s="400"/>
      <c r="L127" s="400"/>
      <c r="M127" s="400"/>
      <c r="N127" s="400"/>
      <c r="O127" s="400"/>
      <c r="U127" s="215"/>
    </row>
    <row r="128" spans="1:21" s="4" customFormat="1" ht="25.5" x14ac:dyDescent="0.2">
      <c r="A128" s="128" t="str">
        <f ca="1">OFFSET(PO!J$12,ROW(A128)-ROW($A$12),0)</f>
        <v>Serviço</v>
      </c>
      <c r="B128" s="130" t="str">
        <f ca="1">IF($A128=0,"",OFFSET(PO!K$12,ROW(B128)-ROW(B$12),0))</f>
        <v>1.13.0.0.3.</v>
      </c>
      <c r="C128" s="127" t="str">
        <f ca="1">IF(OFFSET(PO!N$12,ROW(C128)-ROW(C$12),0)=0,"",OFFSET(PO!N$12,ROW(C128)-ROW(C$12),0))</f>
        <v>Válvula de descarga metálica com registro interno e canopla,D: 32mm (1 1/4") ou 40mm (1 1/2)</v>
      </c>
      <c r="D128" s="129" t="str">
        <f ca="1">IF(OFFSET(PO!O$12,ROW(D128)-ROW(D$12),0)=0,"",OFFSET(PO!O$12,ROW(D128)-ROW(D$12),0))</f>
        <v>UN</v>
      </c>
      <c r="E128" s="165">
        <f ca="1">IF($A128&lt;&gt;"Serviço",0,ROUND(SUMIF($F$9:$P$9,"&lt;&gt;",$F128:$P128),15-13*PO!$X$3))</f>
        <v>5</v>
      </c>
      <c r="F128" s="400">
        <f ca="1">OFFSET(PO!$P$12,ROW($E128)-ROW(F$12),0)</f>
        <v>5</v>
      </c>
      <c r="G128" s="400"/>
      <c r="H128" s="400"/>
      <c r="I128" s="400"/>
      <c r="J128" s="400"/>
      <c r="K128" s="400"/>
      <c r="L128" s="400"/>
      <c r="M128" s="400"/>
      <c r="N128" s="400"/>
      <c r="O128" s="400"/>
      <c r="U128" s="215"/>
    </row>
    <row r="129" spans="1:21" s="4" customFormat="1" x14ac:dyDescent="0.2">
      <c r="A129" s="128" t="str">
        <f ca="1">OFFSET(PO!J$12,ROW(A129)-ROW($A$12),0)</f>
        <v>Serviço</v>
      </c>
      <c r="B129" s="130" t="str">
        <f ca="1">IF($A129=0,"",OFFSET(PO!K$12,ROW(B129)-ROW(B$12),0))</f>
        <v>1.13.0.0.4.</v>
      </c>
      <c r="C129" s="127" t="str">
        <f ca="1">IF(OFFSET(PO!N$12,ROW(C129)-ROW(C$12),0)=0,"",OFFSET(PO!N$12,ROW(C129)-ROW(C$12),0))</f>
        <v>Vaso sanitário com caixa acoplada branca.</v>
      </c>
      <c r="D129" s="129" t="str">
        <f ca="1">IF(OFFSET(PO!O$12,ROW(D129)-ROW(D$12),0)=0,"",OFFSET(PO!O$12,ROW(D129)-ROW(D$12),0))</f>
        <v>UN</v>
      </c>
      <c r="E129" s="165">
        <f ca="1">IF($A129&lt;&gt;"Serviço",0,ROUND(SUMIF($F$9:$P$9,"&lt;&gt;",$F129:$P129),15-13*PO!$X$3))</f>
        <v>3</v>
      </c>
      <c r="F129" s="400">
        <f ca="1">OFFSET(PO!$P$12,ROW($E129)-ROW(F$12),0)</f>
        <v>3</v>
      </c>
      <c r="G129" s="400"/>
      <c r="H129" s="400"/>
      <c r="I129" s="400"/>
      <c r="J129" s="400"/>
      <c r="K129" s="400"/>
      <c r="L129" s="400"/>
      <c r="M129" s="400"/>
      <c r="N129" s="400"/>
      <c r="O129" s="400"/>
      <c r="U129" s="215"/>
    </row>
    <row r="130" spans="1:21" s="4" customFormat="1" x14ac:dyDescent="0.2">
      <c r="A130" s="128" t="str">
        <f ca="1">OFFSET(PO!J$12,ROW(A130)-ROW($A$12),0)</f>
        <v>Serviço</v>
      </c>
      <c r="B130" s="130" t="str">
        <f ca="1">IF($A130=0,"",OFFSET(PO!K$12,ROW(B130)-ROW(B$12),0))</f>
        <v>1.13.0.0.5.</v>
      </c>
      <c r="C130" s="127" t="str">
        <f ca="1">IF(OFFSET(PO!N$12,ROW(C130)-ROW(C$12),0)=0,"",OFFSET(PO!N$12,ROW(C130)-ROW(C$12),0))</f>
        <v>Mictório de louça individual (completo)</v>
      </c>
      <c r="D130" s="129" t="str">
        <f ca="1">IF(OFFSET(PO!O$12,ROW(D130)-ROW(D$12),0)=0,"",OFFSET(PO!O$12,ROW(D130)-ROW(D$12),0))</f>
        <v>UN</v>
      </c>
      <c r="E130" s="165">
        <f ca="1">IF($A130&lt;&gt;"Serviço",0,ROUND(SUMIF($F$9:$P$9,"&lt;&gt;",$F130:$P130),15-13*PO!$X$3))</f>
        <v>1</v>
      </c>
      <c r="F130" s="400">
        <f ca="1">OFFSET(PO!$P$12,ROW($E130)-ROW(F$12),0)</f>
        <v>1</v>
      </c>
      <c r="G130" s="400"/>
      <c r="H130" s="400"/>
      <c r="I130" s="400"/>
      <c r="J130" s="400"/>
      <c r="K130" s="400"/>
      <c r="L130" s="400"/>
      <c r="M130" s="400"/>
      <c r="N130" s="400"/>
      <c r="O130" s="400"/>
      <c r="U130" s="215"/>
    </row>
    <row r="131" spans="1:21" s="4" customFormat="1" ht="25.5" x14ac:dyDescent="0.2">
      <c r="A131" s="128" t="str">
        <f ca="1">OFFSET(PO!J$12,ROW(A131)-ROW($A$12),0)</f>
        <v>Serviço</v>
      </c>
      <c r="B131" s="130" t="str">
        <f ca="1">IF($A131=0,"",OFFSET(PO!K$12,ROW(B131)-ROW(B$12),0))</f>
        <v>1.13.0.0.6.</v>
      </c>
      <c r="C131" s="127" t="str">
        <f ca="1">IF(OFFSET(PO!N$12,ROW(C131)-ROW(C$12),0)=0,"",OFFSET(PO!N$12,ROW(C131)-ROW(C$12),0))</f>
        <v>Lavatório de louça de embutir (cuba), com torneira de pressão e acessórios.</v>
      </c>
      <c r="D131" s="129" t="str">
        <f ca="1">IF(OFFSET(PO!O$12,ROW(D131)-ROW(D$12),0)=0,"",OFFSET(PO!O$12,ROW(D131)-ROW(D$12),0))</f>
        <v>UN</v>
      </c>
      <c r="E131" s="165">
        <f ca="1">IF($A131&lt;&gt;"Serviço",0,ROUND(SUMIF($F$9:$P$9,"&lt;&gt;",$F131:$P131),15-13*PO!$X$3))</f>
        <v>5</v>
      </c>
      <c r="F131" s="400">
        <f ca="1">OFFSET(PO!$P$12,ROW($E131)-ROW(F$12),0)</f>
        <v>5</v>
      </c>
      <c r="G131" s="400"/>
      <c r="H131" s="400"/>
      <c r="I131" s="400"/>
      <c r="J131" s="400"/>
      <c r="K131" s="400"/>
      <c r="L131" s="400"/>
      <c r="M131" s="400"/>
      <c r="N131" s="400"/>
      <c r="O131" s="400"/>
      <c r="U131" s="215"/>
    </row>
    <row r="132" spans="1:21" s="4" customFormat="1" ht="25.5" x14ac:dyDescent="0.2">
      <c r="A132" s="128" t="str">
        <f ca="1">OFFSET(PO!J$12,ROW(A132)-ROW($A$12),0)</f>
        <v>Serviço</v>
      </c>
      <c r="B132" s="130" t="str">
        <f ca="1">IF($A132=0,"",OFFSET(PO!K$12,ROW(B132)-ROW(B$12),0))</f>
        <v>1.13.0.0.7.</v>
      </c>
      <c r="C132" s="127" t="str">
        <f ca="1">IF(OFFSET(PO!N$12,ROW(C132)-ROW(C$12),0)=0,"",OFFSET(PO!N$12,ROW(C132)-ROW(C$12),0))</f>
        <v>PAPELEIRA DE PAREDE EM METAL CROMADO SEM TAMPA, INCLUSO FIXAÇÃO. AF_01/2020</v>
      </c>
      <c r="D132" s="129" t="str">
        <f ca="1">IF(OFFSET(PO!O$12,ROW(D132)-ROW(D$12),0)=0,"",OFFSET(PO!O$12,ROW(D132)-ROW(D$12),0))</f>
        <v>UN</v>
      </c>
      <c r="E132" s="165">
        <f ca="1">IF($A132&lt;&gt;"Serviço",0,ROUND(SUMIF($F$9:$P$9,"&lt;&gt;",$F132:$P132),15-13*PO!$X$3))</f>
        <v>8</v>
      </c>
      <c r="F132" s="400">
        <f ca="1">OFFSET(PO!$P$12,ROW($E132)-ROW(F$12),0)</f>
        <v>8</v>
      </c>
      <c r="G132" s="400"/>
      <c r="H132" s="400"/>
      <c r="I132" s="400"/>
      <c r="J132" s="400"/>
      <c r="K132" s="400"/>
      <c r="L132" s="400"/>
      <c r="M132" s="400"/>
      <c r="N132" s="400"/>
      <c r="O132" s="400"/>
      <c r="U132" s="215"/>
    </row>
    <row r="133" spans="1:21" s="4" customFormat="1" ht="25.5" x14ac:dyDescent="0.2">
      <c r="A133" s="128" t="str">
        <f ca="1">OFFSET(PO!J$12,ROW(A133)-ROW($A$12),0)</f>
        <v>Serviço</v>
      </c>
      <c r="B133" s="130" t="str">
        <f ca="1">IF($A133=0,"",OFFSET(PO!K$12,ROW(B133)-ROW(B$12),0))</f>
        <v>1.13.0.0.8.</v>
      </c>
      <c r="C133" s="127" t="str">
        <f ca="1">IF(OFFSET(PO!N$12,ROW(C133)-ROW(C$12),0)=0,"",OFFSET(PO!N$12,ROW(C133)-ROW(C$12),0))</f>
        <v>Barra apoio deficiente tubo em aço inox 1 1/4" L=80cm para apoio de lavatório</v>
      </c>
      <c r="D133" s="129" t="str">
        <f ca="1">IF(OFFSET(PO!O$12,ROW(D133)-ROW(D$12),0)=0,"",OFFSET(PO!O$12,ROW(D133)-ROW(D$12),0))</f>
        <v>UN</v>
      </c>
      <c r="E133" s="165">
        <f ca="1">IF($A133&lt;&gt;"Serviço",0,ROUND(SUMIF($F$9:$P$9,"&lt;&gt;",$F133:$P133),15-13*PO!$X$3))</f>
        <v>6.4</v>
      </c>
      <c r="F133" s="400">
        <f ca="1">OFFSET(PO!$P$12,ROW($E133)-ROW(F$12),0)</f>
        <v>6.4</v>
      </c>
      <c r="G133" s="400"/>
      <c r="H133" s="400"/>
      <c r="I133" s="400"/>
      <c r="J133" s="400"/>
      <c r="K133" s="400"/>
      <c r="L133" s="400"/>
      <c r="M133" s="400"/>
      <c r="N133" s="400"/>
      <c r="O133" s="400"/>
      <c r="U133" s="215"/>
    </row>
    <row r="134" spans="1:21" s="4" customFormat="1" x14ac:dyDescent="0.2">
      <c r="A134" s="128" t="str">
        <f ca="1">OFFSET(PO!J$12,ROW(A134)-ROW($A$12),0)</f>
        <v>Serviço</v>
      </c>
      <c r="B134" s="130" t="str">
        <f ca="1">IF($A134=0,"",OFFSET(PO!K$12,ROW(B134)-ROW(B$12),0))</f>
        <v>1.13.0.0.9.</v>
      </c>
      <c r="C134" s="127" t="str">
        <f ca="1">IF(OFFSET(PO!N$12,ROW(C134)-ROW(C$12),0)=0,"",OFFSET(PO!N$12,ROW(C134)-ROW(C$12),0))</f>
        <v>Dispenser toalheiro em ABS para folhas de papel</v>
      </c>
      <c r="D134" s="129" t="str">
        <f ca="1">IF(OFFSET(PO!O$12,ROW(D134)-ROW(D$12),0)=0,"",OFFSET(PO!O$12,ROW(D134)-ROW(D$12),0))</f>
        <v>UN</v>
      </c>
      <c r="E134" s="165">
        <f ca="1">IF($A134&lt;&gt;"Serviço",0,ROUND(SUMIF($F$9:$P$9,"&lt;&gt;",$F134:$P134),15-13*PO!$X$3))</f>
        <v>9</v>
      </c>
      <c r="F134" s="400">
        <f ca="1">OFFSET(PO!$P$12,ROW($E134)-ROW(F$12),0)</f>
        <v>9</v>
      </c>
      <c r="G134" s="400"/>
      <c r="H134" s="400"/>
      <c r="I134" s="400"/>
      <c r="J134" s="400"/>
      <c r="K134" s="400"/>
      <c r="L134" s="400"/>
      <c r="M134" s="400"/>
      <c r="N134" s="400"/>
      <c r="O134" s="400"/>
      <c r="U134" s="215"/>
    </row>
    <row r="135" spans="1:21" s="4" customFormat="1" x14ac:dyDescent="0.2">
      <c r="A135" s="128" t="str">
        <f ca="1">OFFSET(PO!J$12,ROW(A135)-ROW($A$12),0)</f>
        <v>Serviço</v>
      </c>
      <c r="B135" s="130" t="str">
        <f ca="1">IF($A135=0,"",OFFSET(PO!K$12,ROW(B135)-ROW(B$12),0))</f>
        <v>1.13.0.0.10.</v>
      </c>
      <c r="C135" s="127" t="str">
        <f ca="1">IF(OFFSET(PO!N$12,ROW(C135)-ROW(C$12),0)=0,"",OFFSET(PO!N$12,ROW(C135)-ROW(C$12),0))</f>
        <v xml:space="preserve">Dispenser saboneteira tipo dispenser, para refil de 800ml </v>
      </c>
      <c r="D135" s="129" t="str">
        <f ca="1">IF(OFFSET(PO!O$12,ROW(D135)-ROW(D$12),0)=0,"",OFFSET(PO!O$12,ROW(D135)-ROW(D$12),0))</f>
        <v>UN</v>
      </c>
      <c r="E135" s="165">
        <f ca="1">IF($A135&lt;&gt;"Serviço",0,ROUND(SUMIF($F$9:$P$9,"&lt;&gt;",$F135:$P135),15-13*PO!$X$3))</f>
        <v>9</v>
      </c>
      <c r="F135" s="400">
        <f ca="1">OFFSET(PO!$P$12,ROW($E135)-ROW(F$12),0)</f>
        <v>9</v>
      </c>
      <c r="G135" s="400"/>
      <c r="H135" s="400"/>
      <c r="I135" s="400"/>
      <c r="J135" s="400"/>
      <c r="K135" s="400"/>
      <c r="L135" s="400"/>
      <c r="M135" s="400"/>
      <c r="N135" s="400"/>
      <c r="O135" s="400"/>
      <c r="U135" s="215"/>
    </row>
    <row r="136" spans="1:21" s="4" customFormat="1" x14ac:dyDescent="0.2">
      <c r="A136" s="128" t="str">
        <f ca="1">OFFSET(PO!J$12,ROW(A136)-ROW($A$12),0)</f>
        <v>Serviço</v>
      </c>
      <c r="B136" s="130" t="str">
        <f ca="1">IF($A136=0,"",OFFSET(PO!K$12,ROW(B136)-ROW(B$12),0))</f>
        <v>1.13.0.0.11.</v>
      </c>
      <c r="C136" s="127" t="str">
        <f ca="1">IF(OFFSET(PO!N$12,ROW(C136)-ROW(C$12),0)=0,"",OFFSET(PO!N$12,ROW(C136)-ROW(C$12),0))</f>
        <v>Tanque de louça com coluna</v>
      </c>
      <c r="D136" s="129" t="str">
        <f ca="1">IF(OFFSET(PO!O$12,ROW(D136)-ROW(D$12),0)=0,"",OFFSET(PO!O$12,ROW(D136)-ROW(D$12),0))</f>
        <v>UN</v>
      </c>
      <c r="E136" s="165">
        <f ca="1">IF($A136&lt;&gt;"Serviço",0,ROUND(SUMIF($F$9:$P$9,"&lt;&gt;",$F136:$P136),15-13*PO!$X$3))</f>
        <v>1</v>
      </c>
      <c r="F136" s="400">
        <f ca="1">OFFSET(PO!$P$12,ROW($E136)-ROW(F$12),0)</f>
        <v>1</v>
      </c>
      <c r="G136" s="400"/>
      <c r="H136" s="400"/>
      <c r="I136" s="400"/>
      <c r="J136" s="400"/>
      <c r="K136" s="400"/>
      <c r="L136" s="400"/>
      <c r="M136" s="400"/>
      <c r="N136" s="400"/>
      <c r="O136" s="400"/>
      <c r="U136" s="215"/>
    </row>
    <row r="137" spans="1:21" s="4" customFormat="1" ht="38.25" x14ac:dyDescent="0.2">
      <c r="A137" s="128" t="str">
        <f ca="1">OFFSET(PO!J$12,ROW(A137)-ROW($A$12),0)</f>
        <v>Serviço</v>
      </c>
      <c r="B137" s="130" t="str">
        <f ca="1">IF($A137=0,"",OFFSET(PO!K$12,ROW(B137)-ROW(B$12),0))</f>
        <v>1.13.0.0.12.</v>
      </c>
      <c r="C137" s="127" t="str">
        <f ca="1">IF(OFFSET(PO!N$12,ROW(C137)-ROW(C$12),0)=0,"",OFFSET(PO!N$12,ROW(C137)-ROW(C$12),0))</f>
        <v>CUBA DE EMBUTIR DE AÇO INOXIDÁVEL MÉDIA, INCLUSO VÁLVULA TIPO AMERICANA E SIFÃO TIPO GARRAFA EM METAL CROMADO - FORNECIMENTO E INSTALAÇÃO. AF_01/2020</v>
      </c>
      <c r="D137" s="129" t="str">
        <f ca="1">IF(OFFSET(PO!O$12,ROW(D137)-ROW(D$12),0)=0,"",OFFSET(PO!O$12,ROW(D137)-ROW(D$12),0))</f>
        <v>UN</v>
      </c>
      <c r="E137" s="165">
        <f ca="1">IF($A137&lt;&gt;"Serviço",0,ROUND(SUMIF($F$9:$P$9,"&lt;&gt;",$F137:$P137),15-13*PO!$X$3))</f>
        <v>6</v>
      </c>
      <c r="F137" s="400">
        <f ca="1">OFFSET(PO!$P$12,ROW($E137)-ROW(F$12),0)</f>
        <v>6</v>
      </c>
      <c r="G137" s="400"/>
      <c r="H137" s="400"/>
      <c r="I137" s="400"/>
      <c r="J137" s="400"/>
      <c r="K137" s="400"/>
      <c r="L137" s="400"/>
      <c r="M137" s="400"/>
      <c r="N137" s="400"/>
      <c r="O137" s="400"/>
      <c r="U137" s="215"/>
    </row>
    <row r="138" spans="1:21" s="4" customFormat="1" ht="38.25" x14ac:dyDescent="0.2">
      <c r="A138" s="128" t="str">
        <f ca="1">OFFSET(PO!J$12,ROW(A138)-ROW($A$12),0)</f>
        <v>Serviço</v>
      </c>
      <c r="B138" s="130" t="str">
        <f ca="1">IF($A138=0,"",OFFSET(PO!K$12,ROW(B138)-ROW(B$12),0))</f>
        <v>1.13.0.0.13.</v>
      </c>
      <c r="C138" s="127" t="str">
        <f ca="1">IF(OFFSET(PO!N$12,ROW(C138)-ROW(C$12),0)=0,"",OFFSET(PO!N$12,ROW(C138)-ROW(C$12),0))</f>
        <v>TORNEIRA CROMADA TUBO MÓVEL, DE MESA, 1/2 OU 3/4, PARA PIA DE COZINHA, PADRÃO ALTO - FORNECIMENTO E INSTALAÇÃO. AF_01/2020</v>
      </c>
      <c r="D138" s="129" t="str">
        <f ca="1">IF(OFFSET(PO!O$12,ROW(D138)-ROW(D$12),0)=0,"",OFFSET(PO!O$12,ROW(D138)-ROW(D$12),0))</f>
        <v>UN</v>
      </c>
      <c r="E138" s="165">
        <f ca="1">IF($A138&lt;&gt;"Serviço",0,ROUND(SUMIF($F$9:$P$9,"&lt;&gt;",$F138:$P138),15-13*PO!$X$3))</f>
        <v>5</v>
      </c>
      <c r="F138" s="400">
        <f ca="1">OFFSET(PO!$P$12,ROW($E138)-ROW(F$12),0)</f>
        <v>5</v>
      </c>
      <c r="G138" s="400"/>
      <c r="H138" s="400"/>
      <c r="I138" s="400"/>
      <c r="J138" s="400"/>
      <c r="K138" s="400"/>
      <c r="L138" s="400"/>
      <c r="M138" s="400"/>
      <c r="N138" s="400"/>
      <c r="O138" s="400"/>
      <c r="U138" s="215"/>
    </row>
    <row r="139" spans="1:21" s="4" customFormat="1" x14ac:dyDescent="0.2">
      <c r="A139" s="128" t="str">
        <f ca="1">OFFSET(PO!J$12,ROW(A139)-ROW($A$12),0)</f>
        <v>Serviço</v>
      </c>
      <c r="B139" s="130" t="str">
        <f ca="1">IF($A139=0,"",OFFSET(PO!K$12,ROW(B139)-ROW(B$12),0))</f>
        <v>1.13.0.0.14.</v>
      </c>
      <c r="C139" s="127" t="str">
        <f ca="1">IF(OFFSET(PO!N$12,ROW(C139)-ROW(C$12),0)=0,"",OFFSET(PO!N$12,ROW(C139)-ROW(C$12),0))</f>
        <v>Torneira elétrica automática, 5400 W</v>
      </c>
      <c r="D139" s="129" t="str">
        <f ca="1">IF(OFFSET(PO!O$12,ROW(D139)-ROW(D$12),0)=0,"",OFFSET(PO!O$12,ROW(D139)-ROW(D$12),0))</f>
        <v>UN</v>
      </c>
      <c r="E139" s="165">
        <f ca="1">IF($A139&lt;&gt;"Serviço",0,ROUND(SUMIF($F$9:$P$9,"&lt;&gt;",$F139:$P139),15-13*PO!$X$3))</f>
        <v>1</v>
      </c>
      <c r="F139" s="400">
        <f ca="1">OFFSET(PO!$P$12,ROW($E139)-ROW(F$12),0)</f>
        <v>1</v>
      </c>
      <c r="G139" s="400"/>
      <c r="H139" s="400"/>
      <c r="I139" s="400"/>
      <c r="J139" s="400"/>
      <c r="K139" s="400"/>
      <c r="L139" s="400"/>
      <c r="M139" s="400"/>
      <c r="N139" s="400"/>
      <c r="O139" s="400"/>
      <c r="U139" s="215"/>
    </row>
    <row r="140" spans="1:21" s="4" customFormat="1" ht="25.5" x14ac:dyDescent="0.2">
      <c r="A140" s="128" t="str">
        <f ca="1">OFFSET(PO!J$12,ROW(A140)-ROW($A$12),0)</f>
        <v>Serviço</v>
      </c>
      <c r="B140" s="130" t="str">
        <f ca="1">IF($A140=0,"",OFFSET(PO!K$12,ROW(B140)-ROW(B$12),0))</f>
        <v>1.13.0.0.15.</v>
      </c>
      <c r="C140" s="127" t="str">
        <f ca="1">IF(OFFSET(PO!N$12,ROW(C140)-ROW(C$12),0)=0,"",OFFSET(PO!N$12,ROW(C140)-ROW(C$12),0))</f>
        <v>CHUVEIRO ELÉTRICO COMUM CORPO PLÁSTICO, TIPO DUCHA FORNECIMENTO E INSTALAÇÃO. AF_01/2020</v>
      </c>
      <c r="D140" s="129" t="str">
        <f ca="1">IF(OFFSET(PO!O$12,ROW(D140)-ROW(D$12),0)=0,"",OFFSET(PO!O$12,ROW(D140)-ROW(D$12),0))</f>
        <v>UN</v>
      </c>
      <c r="E140" s="165">
        <f ca="1">IF($A140&lt;&gt;"Serviço",0,ROUND(SUMIF($F$9:$P$9,"&lt;&gt;",$F140:$P140),15-13*PO!$X$3))</f>
        <v>1</v>
      </c>
      <c r="F140" s="400">
        <f ca="1">OFFSET(PO!$P$12,ROW($E140)-ROW(F$12),0)</f>
        <v>1</v>
      </c>
      <c r="G140" s="400"/>
      <c r="H140" s="400"/>
      <c r="I140" s="400"/>
      <c r="J140" s="400"/>
      <c r="K140" s="400"/>
      <c r="L140" s="400"/>
      <c r="M140" s="400"/>
      <c r="N140" s="400"/>
      <c r="O140" s="400"/>
      <c r="U140" s="215"/>
    </row>
    <row r="141" spans="1:21" s="4" customFormat="1" x14ac:dyDescent="0.2">
      <c r="A141" s="128" t="str">
        <f ca="1">OFFSET(PO!J$12,ROW(A141)-ROW($A$12),0)</f>
        <v>Serviço</v>
      </c>
      <c r="B141" s="130" t="str">
        <f ca="1">IF($A141=0,"",OFFSET(PO!K$12,ROW(B141)-ROW(B$12),0))</f>
        <v>1.13.0.0.16.</v>
      </c>
      <c r="C141" s="127" t="str">
        <f ca="1">IF(OFFSET(PO!N$12,ROW(C141)-ROW(C$12),0)=0,"",OFFSET(PO!N$12,ROW(C141)-ROW(C$12),0))</f>
        <v>Torneira de pressão para uso geral, amarela, p/ jardim</v>
      </c>
      <c r="D141" s="129" t="str">
        <f ca="1">IF(OFFSET(PO!O$12,ROW(D141)-ROW(D$12),0)=0,"",OFFSET(PO!O$12,ROW(D141)-ROW(D$12),0))</f>
        <v>UN</v>
      </c>
      <c r="E141" s="165">
        <f ca="1">IF($A141&lt;&gt;"Serviço",0,ROUND(SUMIF($F$9:$P$9,"&lt;&gt;",$F141:$P141),15-13*PO!$X$3))</f>
        <v>5</v>
      </c>
      <c r="F141" s="400">
        <f ca="1">OFFSET(PO!$P$12,ROW($E141)-ROW(F$12),0)</f>
        <v>5</v>
      </c>
      <c r="G141" s="400"/>
      <c r="H141" s="400"/>
      <c r="I141" s="400"/>
      <c r="J141" s="400"/>
      <c r="K141" s="400"/>
      <c r="L141" s="400"/>
      <c r="M141" s="400"/>
      <c r="N141" s="400"/>
      <c r="O141" s="400"/>
      <c r="U141" s="215"/>
    </row>
    <row r="142" spans="1:21" s="4" customFormat="1" x14ac:dyDescent="0.2">
      <c r="A142" s="128" t="str">
        <f ca="1">OFFSET(PO!J$12,ROW(A142)-ROW($A$12),0)</f>
        <v>Nível 2</v>
      </c>
      <c r="B142" s="130" t="str">
        <f ca="1">IF($A142=0,"",OFFSET(PO!K$12,ROW(B142)-ROW(B$12),0))</f>
        <v>1.14.</v>
      </c>
      <c r="C142" s="127" t="str">
        <f ca="1">IF(OFFSET(PO!N$12,ROW(C142)-ROW(C$12),0)=0,"",OFFSET(PO!N$12,ROW(C142)-ROW(C$12),0))</f>
        <v>INSTALAÇÃO DE GÁS COMBUSTÍVEL</v>
      </c>
      <c r="D142" s="129" t="str">
        <f ca="1">IF(OFFSET(PO!O$12,ROW(D142)-ROW(D$12),0)=0,"",OFFSET(PO!O$12,ROW(D142)-ROW(D$12),0))</f>
        <v/>
      </c>
      <c r="E142" s="165">
        <f ca="1">IF($A142&lt;&gt;"Serviço",0,ROUND(SUMIF($F$9:$P$9,"&lt;&gt;",$F142:$P142),15-13*PO!$X$3))</f>
        <v>0</v>
      </c>
      <c r="F142" s="400">
        <f ca="1">OFFSET(PO!$P$12,ROW($E142)-ROW(F$12),0)</f>
        <v>0</v>
      </c>
      <c r="G142" s="400"/>
      <c r="H142" s="400"/>
      <c r="I142" s="400"/>
      <c r="J142" s="400"/>
      <c r="K142" s="400"/>
      <c r="L142" s="400"/>
      <c r="M142" s="400"/>
      <c r="N142" s="400"/>
      <c r="O142" s="400"/>
      <c r="U142" s="215"/>
    </row>
    <row r="143" spans="1:21" s="4" customFormat="1" x14ac:dyDescent="0.2">
      <c r="A143" s="128" t="str">
        <f ca="1">OFFSET(PO!J$12,ROW(A143)-ROW($A$12),0)</f>
        <v>Serviço</v>
      </c>
      <c r="B143" s="130" t="str">
        <f ca="1">IF($A143=0,"",OFFSET(PO!K$12,ROW(B143)-ROW(B$12),0))</f>
        <v>1.14.0.0.1.</v>
      </c>
      <c r="C143" s="127" t="str">
        <f ca="1">IF(OFFSET(PO!N$12,ROW(C143)-ROW(C$12),0)=0,"",OFFSET(PO!N$12,ROW(C143)-ROW(C$12),0))</f>
        <v>Casa de gás em alvenaria para: 2 botijões de gás 45 Kg</v>
      </c>
      <c r="D143" s="129" t="str">
        <f ca="1">IF(OFFSET(PO!O$12,ROW(D143)-ROW(D$12),0)=0,"",OFFSET(PO!O$12,ROW(D143)-ROW(D$12),0))</f>
        <v>UN</v>
      </c>
      <c r="E143" s="165">
        <f ca="1">IF($A143&lt;&gt;"Serviço",0,ROUND(SUMIF($F$9:$P$9,"&lt;&gt;",$F143:$P143),15-13*PO!$X$3))</f>
        <v>1</v>
      </c>
      <c r="F143" s="400">
        <f ca="1">OFFSET(PO!$P$12,ROW($E143)-ROW(F$12),0)</f>
        <v>1</v>
      </c>
      <c r="G143" s="400"/>
      <c r="H143" s="400"/>
      <c r="I143" s="400"/>
      <c r="J143" s="400"/>
      <c r="K143" s="400"/>
      <c r="L143" s="400"/>
      <c r="M143" s="400"/>
      <c r="N143" s="400"/>
      <c r="O143" s="400"/>
      <c r="U143" s="215"/>
    </row>
    <row r="144" spans="1:21" s="4" customFormat="1" ht="51" x14ac:dyDescent="0.2">
      <c r="A144" s="128" t="str">
        <f ca="1">OFFSET(PO!J$12,ROW(A144)-ROW($A$12),0)</f>
        <v>Serviço</v>
      </c>
      <c r="B144" s="130" t="str">
        <f ca="1">IF($A144=0,"",OFFSET(PO!K$12,ROW(B144)-ROW(B$12),0))</f>
        <v>1.14.0.0.2.</v>
      </c>
      <c r="C144" s="127" t="str">
        <f ca="1">IF(OFFSET(PO!N$12,ROW(C144)-ROW(C$12),0)=0,"",OFFSET(PO!N$12,ROW(C144)-ROW(C$12),0))</f>
        <v>TUBO DE AÇO GALVANIZADO COM COSTURA, CLASSE MÉDIA, CONEXÃO ROSQUEADA, DN 20 (3/4"), INSTALADO EM RAMAIS E SUB-RAMAIS DE GÁS - FORNECIMENTO E INSTALAÇÃO. AF_10/2020</v>
      </c>
      <c r="D144" s="129" t="str">
        <f ca="1">IF(OFFSET(PO!O$12,ROW(D144)-ROW(D$12),0)=0,"",OFFSET(PO!O$12,ROW(D144)-ROW(D$12),0))</f>
        <v>M</v>
      </c>
      <c r="E144" s="165">
        <f ca="1">IF($A144&lt;&gt;"Serviço",0,ROUND(SUMIF($F$9:$P$9,"&lt;&gt;",$F144:$P144),15-13*PO!$X$3))</f>
        <v>7.2</v>
      </c>
      <c r="F144" s="400">
        <f ca="1">OFFSET(PO!$P$12,ROW($E144)-ROW(F$12),0)</f>
        <v>7.2</v>
      </c>
      <c r="G144" s="400"/>
      <c r="H144" s="400"/>
      <c r="I144" s="400"/>
      <c r="J144" s="400"/>
      <c r="K144" s="400"/>
      <c r="L144" s="400"/>
      <c r="M144" s="400"/>
      <c r="N144" s="400"/>
      <c r="O144" s="400"/>
      <c r="U144" s="215"/>
    </row>
    <row r="145" spans="1:21" s="4" customFormat="1" ht="51" x14ac:dyDescent="0.2">
      <c r="A145" s="128" t="str">
        <f ca="1">OFFSET(PO!J$12,ROW(A145)-ROW($A$12),0)</f>
        <v>Serviço</v>
      </c>
      <c r="B145" s="130" t="str">
        <f ca="1">IF($A145=0,"",OFFSET(PO!K$12,ROW(B145)-ROW(B$12),0))</f>
        <v>1.14.0.0.3.</v>
      </c>
      <c r="C145" s="127" t="str">
        <f ca="1">IF(OFFSET(PO!N$12,ROW(C145)-ROW(C$12),0)=0,"",OFFSET(PO!N$12,ROW(C145)-ROW(C$12),0))</f>
        <v>COTOVELO EM BRONZE/LATÃO, DN 22 MM X 3/4", 90 GRAUS, SEM ANEL DE SOLDA , BOLSA X ROSCA F, INSTALADO EM RAMAL DE DISTRIBUIÇÃO FORNECIMENTO E INSTALAÇÃO. AF_01/2016</v>
      </c>
      <c r="D145" s="129" t="str">
        <f ca="1">IF(OFFSET(PO!O$12,ROW(D145)-ROW(D$12),0)=0,"",OFFSET(PO!O$12,ROW(D145)-ROW(D$12),0))</f>
        <v>UN</v>
      </c>
      <c r="E145" s="165">
        <f ca="1">IF($A145&lt;&gt;"Serviço",0,ROUND(SUMIF($F$9:$P$9,"&lt;&gt;",$F145:$P145),15-13*PO!$X$3))</f>
        <v>2</v>
      </c>
      <c r="F145" s="400">
        <f ca="1">OFFSET(PO!$P$12,ROW($E145)-ROW(F$12),0)</f>
        <v>2</v>
      </c>
      <c r="G145" s="400"/>
      <c r="H145" s="400"/>
      <c r="I145" s="400"/>
      <c r="J145" s="400"/>
      <c r="K145" s="400"/>
      <c r="L145" s="400"/>
      <c r="M145" s="400"/>
      <c r="N145" s="400"/>
      <c r="O145" s="400"/>
      <c r="U145" s="215"/>
    </row>
    <row r="146" spans="1:21" s="4" customFormat="1" x14ac:dyDescent="0.2">
      <c r="A146" s="128" t="str">
        <f ca="1">OFFSET(PO!J$12,ROW(A146)-ROW($A$12),0)</f>
        <v>Serviço</v>
      </c>
      <c r="B146" s="130" t="str">
        <f ca="1">IF($A146=0,"",OFFSET(PO!K$12,ROW(B146)-ROW(B$12),0))</f>
        <v>1.14.0.0.4.</v>
      </c>
      <c r="C146" s="127" t="str">
        <f ca="1">IF(OFFSET(PO!N$12,ROW(C146)-ROW(C$12),0)=0,"",OFFSET(PO!N$12,ROW(C146)-ROW(C$12),0))</f>
        <v>PINTURA ANTICORROSIVA DE DUTO METÁLICO. AF_04/2018</v>
      </c>
      <c r="D146" s="129" t="str">
        <f ca="1">IF(OFFSET(PO!O$12,ROW(D146)-ROW(D$12),0)=0,"",OFFSET(PO!O$12,ROW(D146)-ROW(D$12),0))</f>
        <v>M²</v>
      </c>
      <c r="E146" s="165">
        <f ca="1">IF($A146&lt;&gt;"Serviço",0,ROUND(SUMIF($F$9:$P$9,"&lt;&gt;",$F146:$P146),15-13*PO!$X$3))</f>
        <v>6</v>
      </c>
      <c r="F146" s="400">
        <f ca="1">OFFSET(PO!$P$12,ROW($E146)-ROW(F$12),0)</f>
        <v>6</v>
      </c>
      <c r="G146" s="400"/>
      <c r="H146" s="400"/>
      <c r="I146" s="400"/>
      <c r="J146" s="400"/>
      <c r="K146" s="400"/>
      <c r="L146" s="400"/>
      <c r="M146" s="400"/>
      <c r="N146" s="400"/>
      <c r="O146" s="400"/>
      <c r="U146" s="215"/>
    </row>
    <row r="147" spans="1:21" s="4" customFormat="1" ht="25.5" x14ac:dyDescent="0.2">
      <c r="A147" s="128" t="str">
        <f ca="1">OFFSET(PO!J$12,ROW(A147)-ROW($A$12),0)</f>
        <v>Serviço</v>
      </c>
      <c r="B147" s="130" t="str">
        <f ca="1">IF($A147=0,"",OFFSET(PO!K$12,ROW(B147)-ROW(B$12),0))</f>
        <v>1.14.0.0.5.</v>
      </c>
      <c r="C147" s="127" t="str">
        <f ca="1">IF(OFFSET(PO!N$12,ROW(C147)-ROW(C$12),0)=0,"",OFFSET(PO!N$12,ROW(C147)-ROW(C$12),0))</f>
        <v>REGISTRO OU REGULADOR DE GÁS DE COZINHA - FORNECIMENTO E INSTALAÇÃO. AF_08/2021</v>
      </c>
      <c r="D147" s="129" t="str">
        <f ca="1">IF(OFFSET(PO!O$12,ROW(D147)-ROW(D$12),0)=0,"",OFFSET(PO!O$12,ROW(D147)-ROW(D$12),0))</f>
        <v>UN</v>
      </c>
      <c r="E147" s="165">
        <f ca="1">IF($A147&lt;&gt;"Serviço",0,ROUND(SUMIF($F$9:$P$9,"&lt;&gt;",$F147:$P147),15-13*PO!$X$3))</f>
        <v>2</v>
      </c>
      <c r="F147" s="400">
        <f ca="1">OFFSET(PO!$P$12,ROW($E147)-ROW(F$12),0)</f>
        <v>2</v>
      </c>
      <c r="G147" s="400"/>
      <c r="H147" s="400"/>
      <c r="I147" s="400"/>
      <c r="J147" s="400"/>
      <c r="K147" s="400"/>
      <c r="L147" s="400"/>
      <c r="M147" s="400"/>
      <c r="N147" s="400"/>
      <c r="O147" s="400"/>
      <c r="U147" s="215"/>
    </row>
    <row r="148" spans="1:21" s="4" customFormat="1" x14ac:dyDescent="0.2">
      <c r="A148" s="128" t="str">
        <f ca="1">OFFSET(PO!J$12,ROW(A148)-ROW($A$12),0)</f>
        <v>Nível 2</v>
      </c>
      <c r="B148" s="130" t="str">
        <f ca="1">IF($A148=0,"",OFFSET(PO!K$12,ROW(B148)-ROW(B$12),0))</f>
        <v>1.15.</v>
      </c>
      <c r="C148" s="127" t="str">
        <f ca="1">IF(OFFSET(PO!N$12,ROW(C148)-ROW(C$12),0)=0,"",OFFSET(PO!N$12,ROW(C148)-ROW(C$12),0))</f>
        <v>SISTEMA DE PROTEÇÃO CONTRA INCÊNDIO</v>
      </c>
      <c r="D148" s="129" t="str">
        <f ca="1">IF(OFFSET(PO!O$12,ROW(D148)-ROW(D$12),0)=0,"",OFFSET(PO!O$12,ROW(D148)-ROW(D$12),0))</f>
        <v/>
      </c>
      <c r="E148" s="165">
        <f ca="1">IF($A148&lt;&gt;"Serviço",0,ROUND(SUMIF($F$9:$P$9,"&lt;&gt;",$F148:$P148),15-13*PO!$X$3))</f>
        <v>0</v>
      </c>
      <c r="F148" s="400">
        <f ca="1">OFFSET(PO!$P$12,ROW($E148)-ROW(F$12),0)</f>
        <v>0</v>
      </c>
      <c r="G148" s="400"/>
      <c r="H148" s="400"/>
      <c r="I148" s="400"/>
      <c r="J148" s="400"/>
      <c r="K148" s="400"/>
      <c r="L148" s="400"/>
      <c r="M148" s="400"/>
      <c r="N148" s="400"/>
      <c r="O148" s="400"/>
      <c r="U148" s="215"/>
    </row>
    <row r="149" spans="1:21" s="4" customFormat="1" x14ac:dyDescent="0.2">
      <c r="A149" s="128" t="str">
        <f ca="1">OFFSET(PO!J$12,ROW(A149)-ROW($A$12),0)</f>
        <v>Serviço</v>
      </c>
      <c r="B149" s="130" t="str">
        <f ca="1">IF($A149=0,"",OFFSET(PO!K$12,ROW(B149)-ROW(B$12),0))</f>
        <v>1.15.0.0.1.</v>
      </c>
      <c r="C149" s="127" t="str">
        <f ca="1">IF(OFFSET(PO!N$12,ROW(C149)-ROW(C$12),0)=0,"",OFFSET(PO!N$12,ROW(C149)-ROW(C$12),0))</f>
        <v>Extintor manual de pó químico seco ABC - capacidade de 6 kg</v>
      </c>
      <c r="D149" s="129" t="str">
        <f ca="1">IF(OFFSET(PO!O$12,ROW(D149)-ROW(D$12),0)=0,"",OFFSET(PO!O$12,ROW(D149)-ROW(D$12),0))</f>
        <v>UN</v>
      </c>
      <c r="E149" s="165">
        <f ca="1">IF($A149&lt;&gt;"Serviço",0,ROUND(SUMIF($F$9:$P$9,"&lt;&gt;",$F149:$P149),15-13*PO!$X$3))</f>
        <v>5</v>
      </c>
      <c r="F149" s="400">
        <f ca="1">OFFSET(PO!$P$12,ROW($E149)-ROW(F$12),0)</f>
        <v>5</v>
      </c>
      <c r="G149" s="400"/>
      <c r="H149" s="400"/>
      <c r="I149" s="400"/>
      <c r="J149" s="400"/>
      <c r="K149" s="400"/>
      <c r="L149" s="400"/>
      <c r="M149" s="400"/>
      <c r="N149" s="400"/>
      <c r="O149" s="400"/>
      <c r="U149" s="215"/>
    </row>
    <row r="150" spans="1:21" s="4" customFormat="1" x14ac:dyDescent="0.2">
      <c r="A150" s="128" t="str">
        <f ca="1">OFFSET(PO!J$12,ROW(A150)-ROW($A$12),0)</f>
        <v>Serviço</v>
      </c>
      <c r="B150" s="130" t="str">
        <f ca="1">IF($A150=0,"",OFFSET(PO!K$12,ROW(B150)-ROW(B$12),0))</f>
        <v>1.15.0.0.2.</v>
      </c>
      <c r="C150" s="127" t="str">
        <f ca="1">IF(OFFSET(PO!N$12,ROW(C150)-ROW(C$12),0)=0,"",OFFSET(PO!N$12,ROW(C150)-ROW(C$12),0))</f>
        <v>Luminária autônoma de emergencia - LED</v>
      </c>
      <c r="D150" s="129" t="str">
        <f ca="1">IF(OFFSET(PO!O$12,ROW(D150)-ROW(D$12),0)=0,"",OFFSET(PO!O$12,ROW(D150)-ROW(D$12),0))</f>
        <v>UN</v>
      </c>
      <c r="E150" s="165">
        <f ca="1">IF($A150&lt;&gt;"Serviço",0,ROUND(SUMIF($F$9:$P$9,"&lt;&gt;",$F150:$P150),15-13*PO!$X$3))</f>
        <v>16</v>
      </c>
      <c r="F150" s="400">
        <f ca="1">OFFSET(PO!$P$12,ROW($E150)-ROW(F$12),0)</f>
        <v>16</v>
      </c>
      <c r="G150" s="400"/>
      <c r="H150" s="400"/>
      <c r="I150" s="400"/>
      <c r="J150" s="400"/>
      <c r="K150" s="400"/>
      <c r="L150" s="400"/>
      <c r="M150" s="400"/>
      <c r="N150" s="400"/>
      <c r="O150" s="400"/>
      <c r="U150" s="215"/>
    </row>
    <row r="151" spans="1:21" s="4" customFormat="1" ht="25.5" x14ac:dyDescent="0.2">
      <c r="A151" s="128" t="str">
        <f ca="1">OFFSET(PO!J$12,ROW(A151)-ROW($A$12),0)</f>
        <v>Serviço</v>
      </c>
      <c r="B151" s="130" t="str">
        <f ca="1">IF($A151=0,"",OFFSET(PO!K$12,ROW(B151)-ROW(B$12),0))</f>
        <v>1.15.0.0.3.</v>
      </c>
      <c r="C151" s="127" t="str">
        <f ca="1">IF(OFFSET(PO!N$12,ROW(C151)-ROW(C$12),0)=0,"",OFFSET(PO!N$12,ROW(C151)-ROW(C$12),0))</f>
        <v>Placa fotoluminescente de Orientação, salvamento e equipamentos - 380 X 190 mm</v>
      </c>
      <c r="D151" s="129" t="str">
        <f ca="1">IF(OFFSET(PO!O$12,ROW(D151)-ROW(D$12),0)=0,"",OFFSET(PO!O$12,ROW(D151)-ROW(D$12),0))</f>
        <v>M2</v>
      </c>
      <c r="E151" s="165">
        <f ca="1">IF($A151&lt;&gt;"Serviço",0,ROUND(SUMIF($F$9:$P$9,"&lt;&gt;",$F151:$P151),15-13*PO!$X$3))</f>
        <v>21</v>
      </c>
      <c r="F151" s="400">
        <f ca="1">OFFSET(PO!$P$12,ROW($E151)-ROW(F$12),0)</f>
        <v>21</v>
      </c>
      <c r="G151" s="400"/>
      <c r="H151" s="400"/>
      <c r="I151" s="400"/>
      <c r="J151" s="400"/>
      <c r="K151" s="400"/>
      <c r="L151" s="400"/>
      <c r="M151" s="400"/>
      <c r="N151" s="400"/>
      <c r="O151" s="400"/>
      <c r="U151" s="215"/>
    </row>
    <row r="152" spans="1:21" s="4" customFormat="1" x14ac:dyDescent="0.2">
      <c r="A152" s="128" t="str">
        <f ca="1">OFFSET(PO!J$12,ROW(A152)-ROW($A$12),0)</f>
        <v>Nível 2</v>
      </c>
      <c r="B152" s="130" t="str">
        <f ca="1">IF($A152=0,"",OFFSET(PO!K$12,ROW(B152)-ROW(B$12),0))</f>
        <v>1.16.</v>
      </c>
      <c r="C152" s="127" t="str">
        <f ca="1">IF(OFFSET(PO!N$12,ROW(C152)-ROW(C$12),0)=0,"",OFFSET(PO!N$12,ROW(C152)-ROW(C$12),0))</f>
        <v>INSTALAÇÕES ELÉTRICAS E TELEFÔNICAS 127v</v>
      </c>
      <c r="D152" s="129" t="str">
        <f ca="1">IF(OFFSET(PO!O$12,ROW(D152)-ROW(D$12),0)=0,"",OFFSET(PO!O$12,ROW(D152)-ROW(D$12),0))</f>
        <v/>
      </c>
      <c r="E152" s="165">
        <f ca="1">IF($A152&lt;&gt;"Serviço",0,ROUND(SUMIF($F$9:$P$9,"&lt;&gt;",$F152:$P152),15-13*PO!$X$3))</f>
        <v>0</v>
      </c>
      <c r="F152" s="400">
        <f ca="1">OFFSET(PO!$P$12,ROW($E152)-ROW(F$12),0)</f>
        <v>0</v>
      </c>
      <c r="G152" s="400"/>
      <c r="H152" s="400"/>
      <c r="I152" s="400"/>
      <c r="J152" s="400"/>
      <c r="K152" s="400"/>
      <c r="L152" s="400"/>
      <c r="M152" s="400"/>
      <c r="N152" s="400"/>
      <c r="O152" s="400"/>
      <c r="U152" s="215"/>
    </row>
    <row r="153" spans="1:21" s="4" customFormat="1" x14ac:dyDescent="0.2">
      <c r="A153" s="128" t="str">
        <f ca="1">OFFSET(PO!J$12,ROW(A153)-ROW($A$12),0)</f>
        <v>Nível 3</v>
      </c>
      <c r="B153" s="130" t="str">
        <f ca="1">IF($A153=0,"",OFFSET(PO!K$12,ROW(B153)-ROW(B$12),0))</f>
        <v>1.16.1.</v>
      </c>
      <c r="C153" s="127" t="str">
        <f ca="1">IF(OFFSET(PO!N$12,ROW(C153)-ROW(C$12),0)=0,"",OFFSET(PO!N$12,ROW(C153)-ROW(C$12),0))</f>
        <v>QUADROS DE DISTRIBUIÇÃO</v>
      </c>
      <c r="D153" s="129" t="str">
        <f ca="1">IF(OFFSET(PO!O$12,ROW(D153)-ROW(D$12),0)=0,"",OFFSET(PO!O$12,ROW(D153)-ROW(D$12),0))</f>
        <v/>
      </c>
      <c r="E153" s="165">
        <f ca="1">IF($A153&lt;&gt;"Serviço",0,ROUND(SUMIF($F$9:$P$9,"&lt;&gt;",$F153:$P153),15-13*PO!$X$3))</f>
        <v>0</v>
      </c>
      <c r="F153" s="400">
        <f ca="1">OFFSET(PO!$P$12,ROW($E153)-ROW(F$12),0)</f>
        <v>0</v>
      </c>
      <c r="G153" s="400"/>
      <c r="H153" s="400"/>
      <c r="I153" s="400"/>
      <c r="J153" s="400"/>
      <c r="K153" s="400"/>
      <c r="L153" s="400"/>
      <c r="M153" s="400"/>
      <c r="N153" s="400"/>
      <c r="O153" s="400"/>
      <c r="U153" s="215"/>
    </row>
    <row r="154" spans="1:21" s="4" customFormat="1" ht="25.5" x14ac:dyDescent="0.2">
      <c r="A154" s="128" t="str">
        <f ca="1">OFFSET(PO!J$12,ROW(A154)-ROW($A$12),0)</f>
        <v>Serviço</v>
      </c>
      <c r="B154" s="130" t="str">
        <f ca="1">IF($A154=0,"",OFFSET(PO!K$12,ROW(B154)-ROW(B$12),0))</f>
        <v>1.16.1.0.1.</v>
      </c>
      <c r="C154" s="127" t="str">
        <f ca="1">IF(OFFSET(PO!N$12,ROW(C154)-ROW(C$12),0)=0,"",OFFSET(PO!N$12,ROW(C154)-ROW(C$12),0))</f>
        <v>Quadro de distribuição de luz em chapa de aço de sobrepor ou embutir, até 12 divisões modulares</v>
      </c>
      <c r="D154" s="129" t="str">
        <f ca="1">IF(OFFSET(PO!O$12,ROW(D154)-ROW(D$12),0)=0,"",OFFSET(PO!O$12,ROW(D154)-ROW(D$12),0))</f>
        <v>UN</v>
      </c>
      <c r="E154" s="165">
        <f ca="1">IF($A154&lt;&gt;"Serviço",0,ROUND(SUMIF($F$9:$P$9,"&lt;&gt;",$F154:$P154),15-13*PO!$X$3))</f>
        <v>2</v>
      </c>
      <c r="F154" s="400">
        <f ca="1">OFFSET(PO!$P$12,ROW($E154)-ROW(F$12),0)</f>
        <v>2</v>
      </c>
      <c r="G154" s="400"/>
      <c r="H154" s="400"/>
      <c r="I154" s="400"/>
      <c r="J154" s="400"/>
      <c r="K154" s="400"/>
      <c r="L154" s="400"/>
      <c r="M154" s="400"/>
      <c r="N154" s="400"/>
      <c r="O154" s="400"/>
      <c r="U154" s="215"/>
    </row>
    <row r="155" spans="1:21" s="4" customFormat="1" ht="25.5" x14ac:dyDescent="0.2">
      <c r="A155" s="128" t="str">
        <f ca="1">OFFSET(PO!J$12,ROW(A155)-ROW($A$12),0)</f>
        <v>Serviço</v>
      </c>
      <c r="B155" s="130" t="str">
        <f ca="1">IF($A155=0,"",OFFSET(PO!K$12,ROW(B155)-ROW(B$12),0))</f>
        <v>1.16.1.0.2.</v>
      </c>
      <c r="C155" s="127" t="str">
        <f ca="1">IF(OFFSET(PO!N$12,ROW(C155)-ROW(C$12),0)=0,"",OFFSET(PO!N$12,ROW(C155)-ROW(C$12),0))</f>
        <v xml:space="preserve">Quadro de distribuição de luz em PVC de embutir, até 16 divisões modulares, dimensões externas 260 / 310 / 85mm       </v>
      </c>
      <c r="D155" s="129" t="str">
        <f ca="1">IF(OFFSET(PO!O$12,ROW(D155)-ROW(D$12),0)=0,"",OFFSET(PO!O$12,ROW(D155)-ROW(D$12),0))</f>
        <v>UN</v>
      </c>
      <c r="E155" s="165">
        <f ca="1">IF($A155&lt;&gt;"Serviço",0,ROUND(SUMIF($F$9:$P$9,"&lt;&gt;",$F155:$P155),15-13*PO!$X$3))</f>
        <v>1</v>
      </c>
      <c r="F155" s="400">
        <f ca="1">OFFSET(PO!$P$12,ROW($E155)-ROW(F$12),0)</f>
        <v>1</v>
      </c>
      <c r="G155" s="400"/>
      <c r="H155" s="400"/>
      <c r="I155" s="400"/>
      <c r="J155" s="400"/>
      <c r="K155" s="400"/>
      <c r="L155" s="400"/>
      <c r="M155" s="400"/>
      <c r="N155" s="400"/>
      <c r="O155" s="400"/>
      <c r="U155" s="215"/>
    </row>
    <row r="156" spans="1:21" s="4" customFormat="1" ht="51" x14ac:dyDescent="0.2">
      <c r="A156" s="128" t="str">
        <f ca="1">OFFSET(PO!J$12,ROW(A156)-ROW($A$12),0)</f>
        <v>Serviço</v>
      </c>
      <c r="B156" s="130" t="str">
        <f ca="1">IF($A156=0,"",OFFSET(PO!K$12,ROW(B156)-ROW(B$12),0))</f>
        <v>1.16.1.0.3.</v>
      </c>
      <c r="C156" s="127" t="str">
        <f ca="1">IF(OFFSET(PO!N$12,ROW(C156)-ROW(C$12),0)=0,"",OFFSET(PO!N$12,ROW(C156)-ROW(C$12),0))</f>
        <v>QUADRO DE DISTRIBUIÇÃO PARA TELEFONE N.2, 20X20X12CM EM CHAPA METALICA , DE EMBUTIR, SEM ACESSORIOS, PADRÃO TELEBRAS, FORNECIMENTO E INSTALAÇÃO. AF_11/2019</v>
      </c>
      <c r="D156" s="129" t="str">
        <f ca="1">IF(OFFSET(PO!O$12,ROW(D156)-ROW(D$12),0)=0,"",OFFSET(PO!O$12,ROW(D156)-ROW(D$12),0))</f>
        <v>M2</v>
      </c>
      <c r="E156" s="165">
        <f ca="1">IF($A156&lt;&gt;"Serviço",0,ROUND(SUMIF($F$9:$P$9,"&lt;&gt;",$F156:$P156),15-13*PO!$X$3))</f>
        <v>1</v>
      </c>
      <c r="F156" s="400">
        <f ca="1">OFFSET(PO!$P$12,ROW($E156)-ROW(F$12),0)</f>
        <v>1</v>
      </c>
      <c r="G156" s="400"/>
      <c r="H156" s="400"/>
      <c r="I156" s="400"/>
      <c r="J156" s="400"/>
      <c r="K156" s="400"/>
      <c r="L156" s="400"/>
      <c r="M156" s="400"/>
      <c r="N156" s="400"/>
      <c r="O156" s="400"/>
      <c r="U156" s="215"/>
    </row>
    <row r="157" spans="1:21" s="4" customFormat="1" ht="25.5" x14ac:dyDescent="0.2">
      <c r="A157" s="128" t="str">
        <f ca="1">OFFSET(PO!J$12,ROW(A157)-ROW($A$12),0)</f>
        <v>Serviço</v>
      </c>
      <c r="B157" s="130" t="str">
        <f ca="1">IF($A157=0,"",OFFSET(PO!K$12,ROW(B157)-ROW(B$12),0))</f>
        <v>1.16.1.0.4.</v>
      </c>
      <c r="C157" s="127" t="str">
        <f ca="1">IF(OFFSET(PO!N$12,ROW(C157)-ROW(C$12),0)=0,"",OFFSET(PO!N$12,ROW(C157)-ROW(C$12),0))</f>
        <v>QUADRO DE MEDIÇÃO GERAL DE ENERGIA COM 8 MEDIDORES - FORNECIMENTO E INSTALAÇÃO. AF_10/2020</v>
      </c>
      <c r="D157" s="129" t="str">
        <f ca="1">IF(OFFSET(PO!O$12,ROW(D157)-ROW(D$12),0)=0,"",OFFSET(PO!O$12,ROW(D157)-ROW(D$12),0))</f>
        <v>UN</v>
      </c>
      <c r="E157" s="165">
        <f ca="1">IF($A157&lt;&gt;"Serviço",0,ROUND(SUMIF($F$9:$P$9,"&lt;&gt;",$F157:$P157),15-13*PO!$X$3))</f>
        <v>1</v>
      </c>
      <c r="F157" s="400">
        <f ca="1">OFFSET(PO!$P$12,ROW($E157)-ROW(F$12),0)</f>
        <v>1</v>
      </c>
      <c r="G157" s="400"/>
      <c r="H157" s="400"/>
      <c r="I157" s="400"/>
      <c r="J157" s="400"/>
      <c r="K157" s="400"/>
      <c r="L157" s="400"/>
      <c r="M157" s="400"/>
      <c r="N157" s="400"/>
      <c r="O157" s="400"/>
      <c r="U157" s="215"/>
    </row>
    <row r="158" spans="1:21" s="4" customFormat="1" x14ac:dyDescent="0.2">
      <c r="A158" s="128" t="str">
        <f ca="1">OFFSET(PO!J$12,ROW(A158)-ROW($A$12),0)</f>
        <v>Nível 3</v>
      </c>
      <c r="B158" s="130" t="str">
        <f ca="1">IF($A158=0,"",OFFSET(PO!K$12,ROW(B158)-ROW(B$12),0))</f>
        <v>1.16.2.</v>
      </c>
      <c r="C158" s="127" t="str">
        <f ca="1">IF(OFFSET(PO!N$12,ROW(C158)-ROW(C$12),0)=0,"",OFFSET(PO!N$12,ROW(C158)-ROW(C$12),0))</f>
        <v>Fornecimento e instalação de disjuntor automático:</v>
      </c>
      <c r="D158" s="129" t="str">
        <f ca="1">IF(OFFSET(PO!O$12,ROW(D158)-ROW(D$12),0)=0,"",OFFSET(PO!O$12,ROW(D158)-ROW(D$12),0))</f>
        <v/>
      </c>
      <c r="E158" s="165">
        <f ca="1">IF($A158&lt;&gt;"Serviço",0,ROUND(SUMIF($F$9:$P$9,"&lt;&gt;",$F158:$P158),15-13*PO!$X$3))</f>
        <v>0</v>
      </c>
      <c r="F158" s="400">
        <f ca="1">OFFSET(PO!$P$12,ROW($E158)-ROW(F$12),0)</f>
        <v>0</v>
      </c>
      <c r="G158" s="400"/>
      <c r="H158" s="400"/>
      <c r="I158" s="400"/>
      <c r="J158" s="400"/>
      <c r="K158" s="400"/>
      <c r="L158" s="400"/>
      <c r="M158" s="400"/>
      <c r="N158" s="400"/>
      <c r="O158" s="400"/>
      <c r="U158" s="215"/>
    </row>
    <row r="159" spans="1:21" s="4" customFormat="1" x14ac:dyDescent="0.2">
      <c r="A159" s="128" t="str">
        <f ca="1">OFFSET(PO!J$12,ROW(A159)-ROW($A$12),0)</f>
        <v>Serviço</v>
      </c>
      <c r="B159" s="130" t="str">
        <f ca="1">IF($A159=0,"",OFFSET(PO!K$12,ROW(B159)-ROW(B$12),0))</f>
        <v>1.16.2.0.1.</v>
      </c>
      <c r="C159" s="127" t="str">
        <f ca="1">IF(OFFSET(PO!N$12,ROW(C159)-ROW(C$12),0)=0,"",OFFSET(PO!N$12,ROW(C159)-ROW(C$12),0))</f>
        <v>Monopolar de 10  a 32 A</v>
      </c>
      <c r="D159" s="129" t="str">
        <f ca="1">IF(OFFSET(PO!O$12,ROW(D159)-ROW(D$12),0)=0,"",OFFSET(PO!O$12,ROW(D159)-ROW(D$12),0))</f>
        <v>UN</v>
      </c>
      <c r="E159" s="165">
        <f ca="1">IF($A159&lt;&gt;"Serviço",0,ROUND(SUMIF($F$9:$P$9,"&lt;&gt;",$F159:$P159),15-13*PO!$X$3))</f>
        <v>9</v>
      </c>
      <c r="F159" s="400">
        <f ca="1">OFFSET(PO!$P$12,ROW($E159)-ROW(F$12),0)</f>
        <v>9</v>
      </c>
      <c r="G159" s="400"/>
      <c r="H159" s="400"/>
      <c r="I159" s="400"/>
      <c r="J159" s="400"/>
      <c r="K159" s="400"/>
      <c r="L159" s="400"/>
      <c r="M159" s="400"/>
      <c r="N159" s="400"/>
      <c r="O159" s="400"/>
      <c r="U159" s="215"/>
    </row>
    <row r="160" spans="1:21" s="4" customFormat="1" x14ac:dyDescent="0.2">
      <c r="A160" s="128" t="str">
        <f ca="1">OFFSET(PO!J$12,ROW(A160)-ROW($A$12),0)</f>
        <v>Serviço</v>
      </c>
      <c r="B160" s="130" t="str">
        <f ca="1">IF($A160=0,"",OFFSET(PO!K$12,ROW(B160)-ROW(B$12),0))</f>
        <v>1.16.2.0.2.</v>
      </c>
      <c r="C160" s="127" t="str">
        <f ca="1">IF(OFFSET(PO!N$12,ROW(C160)-ROW(C$12),0)=0,"",OFFSET(PO!N$12,ROW(C160)-ROW(C$12),0))</f>
        <v>Bipolar de 10 a 50 A</v>
      </c>
      <c r="D160" s="129" t="str">
        <f ca="1">IF(OFFSET(PO!O$12,ROW(D160)-ROW(D$12),0)=0,"",OFFSET(PO!O$12,ROW(D160)-ROW(D$12),0))</f>
        <v>UN</v>
      </c>
      <c r="E160" s="165">
        <f ca="1">IF($A160&lt;&gt;"Serviço",0,ROUND(SUMIF($F$9:$P$9,"&lt;&gt;",$F160:$P160),15-13*PO!$X$3))</f>
        <v>32</v>
      </c>
      <c r="F160" s="400">
        <f ca="1">OFFSET(PO!$P$12,ROW($E160)-ROW(F$12),0)</f>
        <v>32</v>
      </c>
      <c r="G160" s="400"/>
      <c r="H160" s="400"/>
      <c r="I160" s="400"/>
      <c r="J160" s="400"/>
      <c r="K160" s="400"/>
      <c r="L160" s="400"/>
      <c r="M160" s="400"/>
      <c r="N160" s="400"/>
      <c r="O160" s="400"/>
      <c r="U160" s="215"/>
    </row>
    <row r="161" spans="1:21" s="4" customFormat="1" x14ac:dyDescent="0.2">
      <c r="A161" s="128" t="str">
        <f ca="1">OFFSET(PO!J$12,ROW(A161)-ROW($A$12),0)</f>
        <v>Serviço</v>
      </c>
      <c r="B161" s="130" t="str">
        <f ca="1">IF($A161=0,"",OFFSET(PO!K$12,ROW(B161)-ROW(B$12),0))</f>
        <v>1.16.2.0.3.</v>
      </c>
      <c r="C161" s="127" t="str">
        <f ca="1">IF(OFFSET(PO!N$12,ROW(C161)-ROW(C$12),0)=0,"",OFFSET(PO!N$12,ROW(C161)-ROW(C$12),0))</f>
        <v>Tripolar de 60 a 100 A</v>
      </c>
      <c r="D161" s="129" t="str">
        <f ca="1">IF(OFFSET(PO!O$12,ROW(D161)-ROW(D$12),0)=0,"",OFFSET(PO!O$12,ROW(D161)-ROW(D$12),0))</f>
        <v>UN</v>
      </c>
      <c r="E161" s="165">
        <f ca="1">IF($A161&lt;&gt;"Serviço",0,ROUND(SUMIF($F$9:$P$9,"&lt;&gt;",$F161:$P161),15-13*PO!$X$3))</f>
        <v>1</v>
      </c>
      <c r="F161" s="400">
        <f ca="1">OFFSET(PO!$P$12,ROW($E161)-ROW(F$12),0)</f>
        <v>1</v>
      </c>
      <c r="G161" s="400"/>
      <c r="H161" s="400"/>
      <c r="I161" s="400"/>
      <c r="J161" s="400"/>
      <c r="K161" s="400"/>
      <c r="L161" s="400"/>
      <c r="M161" s="400"/>
      <c r="N161" s="400"/>
      <c r="O161" s="400"/>
      <c r="U161" s="215"/>
    </row>
    <row r="162" spans="1:21" s="4" customFormat="1" x14ac:dyDescent="0.2">
      <c r="A162" s="128" t="str">
        <f ca="1">OFFSET(PO!J$12,ROW(A162)-ROW($A$12),0)</f>
        <v>Serviço</v>
      </c>
      <c r="B162" s="130" t="str">
        <f ca="1">IF($A162=0,"",OFFSET(PO!K$12,ROW(B162)-ROW(B$12),0))</f>
        <v>1.16.2.0.4.</v>
      </c>
      <c r="C162" s="127" t="str">
        <f ca="1">IF(OFFSET(PO!N$12,ROW(C162)-ROW(C$12),0)=0,"",OFFSET(PO!N$12,ROW(C162)-ROW(C$12),0))</f>
        <v xml:space="preserve">Tripolar de 120A a 125A </v>
      </c>
      <c r="D162" s="129" t="str">
        <f ca="1">IF(OFFSET(PO!O$12,ROW(D162)-ROW(D$12),0)=0,"",OFFSET(PO!O$12,ROW(D162)-ROW(D$12),0))</f>
        <v>UN</v>
      </c>
      <c r="E162" s="165">
        <f ca="1">IF($A162&lt;&gt;"Serviço",0,ROUND(SUMIF($F$9:$P$9,"&lt;&gt;",$F162:$P162),15-13*PO!$X$3))</f>
        <v>1</v>
      </c>
      <c r="F162" s="400">
        <f ca="1">OFFSET(PO!$P$12,ROW($E162)-ROW(F$12),0)</f>
        <v>1</v>
      </c>
      <c r="G162" s="400"/>
      <c r="H162" s="400"/>
      <c r="I162" s="400"/>
      <c r="J162" s="400"/>
      <c r="K162" s="400"/>
      <c r="L162" s="400"/>
      <c r="M162" s="400"/>
      <c r="N162" s="400"/>
      <c r="O162" s="400"/>
      <c r="U162" s="215"/>
    </row>
    <row r="163" spans="1:21" s="4" customFormat="1" x14ac:dyDescent="0.2">
      <c r="A163" s="128" t="str">
        <f ca="1">OFFSET(PO!J$12,ROW(A163)-ROW($A$12),0)</f>
        <v>Nível 3</v>
      </c>
      <c r="B163" s="130" t="str">
        <f ca="1">IF($A163=0,"",OFFSET(PO!K$12,ROW(B163)-ROW(B$12),0))</f>
        <v>1.16.3.</v>
      </c>
      <c r="C163" s="127" t="str">
        <f ca="1">IF(OFFSET(PO!N$12,ROW(C163)-ROW(C$12),0)=0,"",OFFSET(PO!N$12,ROW(C163)-ROW(C$12),0))</f>
        <v>ELETRODUTOS E ACESSÓRIOS</v>
      </c>
      <c r="D163" s="129" t="str">
        <f ca="1">IF(OFFSET(PO!O$12,ROW(D163)-ROW(D$12),0)=0,"",OFFSET(PO!O$12,ROW(D163)-ROW(D$12),0))</f>
        <v/>
      </c>
      <c r="E163" s="165">
        <f ca="1">IF($A163&lt;&gt;"Serviço",0,ROUND(SUMIF($F$9:$P$9,"&lt;&gt;",$F163:$P163),15-13*PO!$X$3))</f>
        <v>0</v>
      </c>
      <c r="F163" s="400">
        <f ca="1">OFFSET(PO!$P$12,ROW($E163)-ROW(F$12),0)</f>
        <v>0</v>
      </c>
      <c r="G163" s="400"/>
      <c r="H163" s="400"/>
      <c r="I163" s="400"/>
      <c r="J163" s="400"/>
      <c r="K163" s="400"/>
      <c r="L163" s="400"/>
      <c r="M163" s="400"/>
      <c r="N163" s="400"/>
      <c r="O163" s="400"/>
      <c r="U163" s="215"/>
    </row>
    <row r="164" spans="1:21" s="4" customFormat="1" ht="25.5" x14ac:dyDescent="0.2">
      <c r="A164" s="128" t="str">
        <f ca="1">OFFSET(PO!J$12,ROW(A164)-ROW($A$12),0)</f>
        <v>Nível 4</v>
      </c>
      <c r="B164" s="130" t="str">
        <f ca="1">IF($A164=0,"",OFFSET(PO!K$12,ROW(B164)-ROW(B$12),0))</f>
        <v>1.16.3.1.</v>
      </c>
      <c r="C164" s="127" t="str">
        <f ca="1">IF(OFFSET(PO!N$12,ROW(C164)-ROW(C$12),0)=0,"",OFFSET(PO!N$12,ROW(C164)-ROW(C$12),0))</f>
        <v>Fornecimento e colocação de mangueira PVC flexível corrugado:</v>
      </c>
      <c r="D164" s="129" t="str">
        <f ca="1">IF(OFFSET(PO!O$12,ROW(D164)-ROW(D$12),0)=0,"",OFFSET(PO!O$12,ROW(D164)-ROW(D$12),0))</f>
        <v/>
      </c>
      <c r="E164" s="165">
        <f ca="1">IF($A164&lt;&gt;"Serviço",0,ROUND(SUMIF($F$9:$P$9,"&lt;&gt;",$F164:$P164),15-13*PO!$X$3))</f>
        <v>0</v>
      </c>
      <c r="F164" s="400">
        <f ca="1">OFFSET(PO!$P$12,ROW($E164)-ROW(F$12),0)</f>
        <v>0</v>
      </c>
      <c r="G164" s="400"/>
      <c r="H164" s="400"/>
      <c r="I164" s="400"/>
      <c r="J164" s="400"/>
      <c r="K164" s="400"/>
      <c r="L164" s="400"/>
      <c r="M164" s="400"/>
      <c r="N164" s="400"/>
      <c r="O164" s="400"/>
      <c r="U164" s="215"/>
    </row>
    <row r="165" spans="1:21" s="4" customFormat="1" x14ac:dyDescent="0.2">
      <c r="A165" s="128" t="str">
        <f ca="1">OFFSET(PO!J$12,ROW(A165)-ROW($A$12),0)</f>
        <v>Serviço</v>
      </c>
      <c r="B165" s="130" t="str">
        <f ca="1">IF($A165=0,"",OFFSET(PO!K$12,ROW(B165)-ROW(B$12),0))</f>
        <v>1.16.3.1.1.</v>
      </c>
      <c r="C165" s="127" t="str">
        <f ca="1">IF(OFFSET(PO!N$12,ROW(C165)-ROW(C$12),0)=0,"",OFFSET(PO!N$12,ROW(C165)-ROW(C$12),0))</f>
        <v>Diâmetro 25mm (3/4")</v>
      </c>
      <c r="D165" s="129" t="str">
        <f ca="1">IF(OFFSET(PO!O$12,ROW(D165)-ROW(D$12),0)=0,"",OFFSET(PO!O$12,ROW(D165)-ROW(D$12),0))</f>
        <v>M</v>
      </c>
      <c r="E165" s="165">
        <f ca="1">IF($A165&lt;&gt;"Serviço",0,ROUND(SUMIF($F$9:$P$9,"&lt;&gt;",$F165:$P165),15-13*PO!$X$3))</f>
        <v>569.20000000000005</v>
      </c>
      <c r="F165" s="400">
        <f ca="1">OFFSET(PO!$P$12,ROW($E165)-ROW(F$12),0)</f>
        <v>569.20000000000005</v>
      </c>
      <c r="G165" s="400"/>
      <c r="H165" s="400"/>
      <c r="I165" s="400"/>
      <c r="J165" s="400"/>
      <c r="K165" s="400"/>
      <c r="L165" s="400"/>
      <c r="M165" s="400"/>
      <c r="N165" s="400"/>
      <c r="O165" s="400"/>
      <c r="U165" s="215"/>
    </row>
    <row r="166" spans="1:21" s="4" customFormat="1" x14ac:dyDescent="0.2">
      <c r="A166" s="128" t="str">
        <f ca="1">OFFSET(PO!J$12,ROW(A166)-ROW($A$12),0)</f>
        <v>Serviço</v>
      </c>
      <c r="B166" s="130" t="str">
        <f ca="1">IF($A166=0,"",OFFSET(PO!K$12,ROW(B166)-ROW(B$12),0))</f>
        <v>1.16.3.1.2.</v>
      </c>
      <c r="C166" s="127" t="str">
        <f ca="1">IF(OFFSET(PO!N$12,ROW(C166)-ROW(C$12),0)=0,"",OFFSET(PO!N$12,ROW(C166)-ROW(C$12),0))</f>
        <v>Diâmetro 32mm (1")</v>
      </c>
      <c r="D166" s="129" t="str">
        <f ca="1">IF(OFFSET(PO!O$12,ROW(D166)-ROW(D$12),0)=0,"",OFFSET(PO!O$12,ROW(D166)-ROW(D$12),0))</f>
        <v>M</v>
      </c>
      <c r="E166" s="165">
        <f ca="1">IF($A166&lt;&gt;"Serviço",0,ROUND(SUMIF($F$9:$P$9,"&lt;&gt;",$F166:$P166),15-13*PO!$X$3))</f>
        <v>143.5</v>
      </c>
      <c r="F166" s="400">
        <f ca="1">OFFSET(PO!$P$12,ROW($E166)-ROW(F$12),0)</f>
        <v>143.5</v>
      </c>
      <c r="G166" s="400"/>
      <c r="H166" s="400"/>
      <c r="I166" s="400"/>
      <c r="J166" s="400"/>
      <c r="K166" s="400"/>
      <c r="L166" s="400"/>
      <c r="M166" s="400"/>
      <c r="N166" s="400"/>
      <c r="O166" s="400"/>
      <c r="U166" s="215"/>
    </row>
    <row r="167" spans="1:21" s="4" customFormat="1" ht="25.5" x14ac:dyDescent="0.2">
      <c r="A167" s="128" t="str">
        <f ca="1">OFFSET(PO!J$12,ROW(A167)-ROW($A$12),0)</f>
        <v>Serviço</v>
      </c>
      <c r="B167" s="130" t="str">
        <f ca="1">IF($A167=0,"",OFFSET(PO!K$12,ROW(B167)-ROW(B$12),0))</f>
        <v>1.16.3.1.3.</v>
      </c>
      <c r="C167" s="127" t="str">
        <f ca="1">IF(OFFSET(PO!N$12,ROW(C167)-ROW(C$12),0)=0,"",OFFSET(PO!N$12,ROW(C167)-ROW(C$12),0))</f>
        <v>ELETRODUTO RÍGIDO ROSCÁVEL, PVC, DN 50 MM (1 1/2") - FORNECIMENTO E INSTALAÇÃO. AF_12/2015</v>
      </c>
      <c r="D167" s="129" t="str">
        <f ca="1">IF(OFFSET(PO!O$12,ROW(D167)-ROW(D$12),0)=0,"",OFFSET(PO!O$12,ROW(D167)-ROW(D$12),0))</f>
        <v>M</v>
      </c>
      <c r="E167" s="165">
        <f ca="1">IF($A167&lt;&gt;"Serviço",0,ROUND(SUMIF($F$9:$P$9,"&lt;&gt;",$F167:$P167),15-13*PO!$X$3))</f>
        <v>155.80000000000001</v>
      </c>
      <c r="F167" s="400">
        <f ca="1">OFFSET(PO!$P$12,ROW($E167)-ROW(F$12),0)</f>
        <v>155.80000000000001</v>
      </c>
      <c r="G167" s="400"/>
      <c r="H167" s="400"/>
      <c r="I167" s="400"/>
      <c r="J167" s="400"/>
      <c r="K167" s="400"/>
      <c r="L167" s="400"/>
      <c r="M167" s="400"/>
      <c r="N167" s="400"/>
      <c r="O167" s="400"/>
      <c r="U167" s="215"/>
    </row>
    <row r="168" spans="1:21" s="4" customFormat="1" ht="25.5" x14ac:dyDescent="0.2">
      <c r="A168" s="128" t="str">
        <f ca="1">OFFSET(PO!J$12,ROW(A168)-ROW($A$12),0)</f>
        <v>Serviço</v>
      </c>
      <c r="B168" s="130" t="str">
        <f ca="1">IF($A168=0,"",OFFSET(PO!K$12,ROW(B168)-ROW(B$12),0))</f>
        <v>1.16.3.1.4.</v>
      </c>
      <c r="C168" s="127" t="str">
        <f ca="1">IF(OFFSET(PO!N$12,ROW(C168)-ROW(C$12),0)=0,"",OFFSET(PO!N$12,ROW(C168)-ROW(C$12),0))</f>
        <v>ELETRODUTO RÍGIDO ROSCÁVEL, PVC, DN 60 MM (2") - FORNECIMENTO E INSTALAÇÃO. AF_12/2015</v>
      </c>
      <c r="D168" s="129" t="str">
        <f ca="1">IF(OFFSET(PO!O$12,ROW(D168)-ROW(D$12),0)=0,"",OFFSET(PO!O$12,ROW(D168)-ROW(D$12),0))</f>
        <v>M</v>
      </c>
      <c r="E168" s="165">
        <f ca="1">IF($A168&lt;&gt;"Serviço",0,ROUND(SUMIF($F$9:$P$9,"&lt;&gt;",$F168:$P168),15-13*PO!$X$3))</f>
        <v>21.6</v>
      </c>
      <c r="F168" s="400">
        <f ca="1">OFFSET(PO!$P$12,ROW($E168)-ROW(F$12),0)</f>
        <v>21.6</v>
      </c>
      <c r="G168" s="400"/>
      <c r="H168" s="400"/>
      <c r="I168" s="400"/>
      <c r="J168" s="400"/>
      <c r="K168" s="400"/>
      <c r="L168" s="400"/>
      <c r="M168" s="400"/>
      <c r="N168" s="400"/>
      <c r="O168" s="400"/>
      <c r="U168" s="215"/>
    </row>
    <row r="169" spans="1:21" s="4" customFormat="1" ht="25.5" x14ac:dyDescent="0.2">
      <c r="A169" s="128" t="str">
        <f ca="1">OFFSET(PO!J$12,ROW(A169)-ROW($A$12),0)</f>
        <v>Serviço</v>
      </c>
      <c r="B169" s="130" t="str">
        <f ca="1">IF($A169=0,"",OFFSET(PO!K$12,ROW(B169)-ROW(B$12),0))</f>
        <v>1.16.3.1.5.</v>
      </c>
      <c r="C169" s="127" t="str">
        <f ca="1">IF(OFFSET(PO!N$12,ROW(C169)-ROW(C$12),0)=0,"",OFFSET(PO!N$12,ROW(C169)-ROW(C$12),0))</f>
        <v>ELETRODUTO RÍGIDO ROSCÁVEL, PVC, DN 85 MM (3") - FORNECIMENTO E INSTALAÇÃO. AF_12/2015</v>
      </c>
      <c r="D169" s="129" t="str">
        <f ca="1">IF(OFFSET(PO!O$12,ROW(D169)-ROW(D$12),0)=0,"",OFFSET(PO!O$12,ROW(D169)-ROW(D$12),0))</f>
        <v>M</v>
      </c>
      <c r="E169" s="165">
        <f ca="1">IF($A169&lt;&gt;"Serviço",0,ROUND(SUMIF($F$9:$P$9,"&lt;&gt;",$F169:$P169),15-13*PO!$X$3))</f>
        <v>58.1</v>
      </c>
      <c r="F169" s="400">
        <f ca="1">OFFSET(PO!$P$12,ROW($E169)-ROW(F$12),0)</f>
        <v>58.1</v>
      </c>
      <c r="G169" s="400"/>
      <c r="H169" s="400"/>
      <c r="I169" s="400"/>
      <c r="J169" s="400"/>
      <c r="K169" s="400"/>
      <c r="L169" s="400"/>
      <c r="M169" s="400"/>
      <c r="N169" s="400"/>
      <c r="O169" s="400"/>
      <c r="U169" s="215"/>
    </row>
    <row r="170" spans="1:21" s="4" customFormat="1" ht="25.5" x14ac:dyDescent="0.2">
      <c r="A170" s="128" t="str">
        <f ca="1">OFFSET(PO!J$12,ROW(A170)-ROW($A$12),0)</f>
        <v>Serviço</v>
      </c>
      <c r="B170" s="130" t="str">
        <f ca="1">IF($A170=0,"",OFFSET(PO!K$12,ROW(B170)-ROW(B$12),0))</f>
        <v>1.16.3.1.6.</v>
      </c>
      <c r="C170" s="127" t="str">
        <f ca="1">IF(OFFSET(PO!N$12,ROW(C170)-ROW(C$12),0)=0,"",OFFSET(PO!N$12,ROW(C170)-ROW(C$12),0))</f>
        <v>ELETRODUTO RÍGIDO ROSCÁVEL, PVC, DN 110 MM (4") - FORNECIMENTO E INSTALAÇÃO. AF_12/2015</v>
      </c>
      <c r="D170" s="129" t="str">
        <f ca="1">IF(OFFSET(PO!O$12,ROW(D170)-ROW(D$12),0)=0,"",OFFSET(PO!O$12,ROW(D170)-ROW(D$12),0))</f>
        <v>M</v>
      </c>
      <c r="E170" s="165">
        <f ca="1">IF($A170&lt;&gt;"Serviço",0,ROUND(SUMIF($F$9:$P$9,"&lt;&gt;",$F170:$P170),15-13*PO!$X$3))</f>
        <v>30.9</v>
      </c>
      <c r="F170" s="400">
        <f ca="1">OFFSET(PO!$P$12,ROW($E170)-ROW(F$12),0)</f>
        <v>30.9</v>
      </c>
      <c r="G170" s="400"/>
      <c r="H170" s="400"/>
      <c r="I170" s="400"/>
      <c r="J170" s="400"/>
      <c r="K170" s="400"/>
      <c r="L170" s="400"/>
      <c r="M170" s="400"/>
      <c r="N170" s="400"/>
      <c r="O170" s="400"/>
      <c r="U170" s="215"/>
    </row>
    <row r="171" spans="1:21" s="4" customFormat="1" ht="38.25" x14ac:dyDescent="0.2">
      <c r="A171" s="128" t="str">
        <f ca="1">OFFSET(PO!J$12,ROW(A171)-ROW($A$12),0)</f>
        <v>Serviço</v>
      </c>
      <c r="B171" s="130" t="str">
        <f ca="1">IF($A171=0,"",OFFSET(PO!K$12,ROW(B171)-ROW(B$12),0))</f>
        <v>1.16.3.1.7.</v>
      </c>
      <c r="C171" s="127" t="str">
        <f ca="1">IF(OFFSET(PO!N$12,ROW(C171)-ROW(C$12),0)=0,"",OFFSET(PO!N$12,ROW(C171)-ROW(C$12),0))</f>
        <v>LUVA, EM FERRO GALVANIZADO, CONEXÃO ROSQUEADA, DN 40 (1 1/2"), INSTALADO EM REDE DE ALIMENTAÇÃO PARA SPRINKLER - FORNECIMENTO E INSTALAÇÃO.AF_10/2020</v>
      </c>
      <c r="D171" s="129" t="str">
        <f ca="1">IF(OFFSET(PO!O$12,ROW(D171)-ROW(D$12),0)=0,"",OFFSET(PO!O$12,ROW(D171)-ROW(D$12),0))</f>
        <v>UN</v>
      </c>
      <c r="E171" s="165">
        <f ca="1">IF($A171&lt;&gt;"Serviço",0,ROUND(SUMIF($F$9:$P$9,"&lt;&gt;",$F171:$P171),15-13*PO!$X$3))</f>
        <v>9</v>
      </c>
      <c r="F171" s="400">
        <f ca="1">OFFSET(PO!$P$12,ROW($E171)-ROW(F$12),0)</f>
        <v>9</v>
      </c>
      <c r="G171" s="400"/>
      <c r="H171" s="400"/>
      <c r="I171" s="400"/>
      <c r="J171" s="400"/>
      <c r="K171" s="400"/>
      <c r="L171" s="400"/>
      <c r="M171" s="400"/>
      <c r="N171" s="400"/>
      <c r="O171" s="400"/>
      <c r="U171" s="215"/>
    </row>
    <row r="172" spans="1:21" s="4" customFormat="1" ht="38.25" x14ac:dyDescent="0.2">
      <c r="A172" s="128" t="str">
        <f ca="1">OFFSET(PO!J$12,ROW(A172)-ROW($A$12),0)</f>
        <v>Serviço</v>
      </c>
      <c r="B172" s="130" t="str">
        <f ca="1">IF($A172=0,"",OFFSET(PO!K$12,ROW(B172)-ROW(B$12),0))</f>
        <v>1.16.3.1.8.</v>
      </c>
      <c r="C172" s="127" t="str">
        <f ca="1">IF(OFFSET(PO!N$12,ROW(C172)-ROW(C$12),0)=0,"",OFFSET(PO!N$12,ROW(C172)-ROW(C$12),0))</f>
        <v>LUVA, EM FERRO GALVANIZADO, CONEXÃO ROSQUEADA, DN 15 (1/2"), INSTALADO EM RAMAIS E SUB-RAMAIS DE GÁS - FORNECIMENTO E INSTALAÇÃO. AF_10/2020</v>
      </c>
      <c r="D172" s="129" t="str">
        <f ca="1">IF(OFFSET(PO!O$12,ROW(D172)-ROW(D$12),0)=0,"",OFFSET(PO!O$12,ROW(D172)-ROW(D$12),0))</f>
        <v>UN</v>
      </c>
      <c r="E172" s="165">
        <f ca="1">IF($A172&lt;&gt;"Serviço",0,ROUND(SUMIF($F$9:$P$9,"&lt;&gt;",$F172:$P172),15-13*PO!$X$3))</f>
        <v>2</v>
      </c>
      <c r="F172" s="400">
        <f ca="1">OFFSET(PO!$P$12,ROW($E172)-ROW(F$12),0)</f>
        <v>2</v>
      </c>
      <c r="G172" s="400"/>
      <c r="H172" s="400"/>
      <c r="I172" s="400"/>
      <c r="J172" s="400"/>
      <c r="K172" s="400"/>
      <c r="L172" s="400"/>
      <c r="M172" s="400"/>
      <c r="N172" s="400"/>
      <c r="O172" s="400"/>
      <c r="U172" s="215"/>
    </row>
    <row r="173" spans="1:21" s="4" customFormat="1" ht="25.5" x14ac:dyDescent="0.2">
      <c r="A173" s="128" t="str">
        <f ca="1">OFFSET(PO!J$12,ROW(A173)-ROW($A$12),0)</f>
        <v>Serviço</v>
      </c>
      <c r="B173" s="130" t="str">
        <f ca="1">IF($A173=0,"",OFFSET(PO!K$12,ROW(B173)-ROW(B$12),0))</f>
        <v>1.16.3.1.9.</v>
      </c>
      <c r="C173" s="127" t="str">
        <f ca="1">IF(OFFSET(PO!N$12,ROW(C173)-ROW(C$12),0)=0,"",OFFSET(PO!N$12,ROW(C173)-ROW(C$12),0))</f>
        <v>CAIXA DE PASSAGEM PARA TELEFONE 15X15X10CM (SOBREPOR), FORNECIMENTO E INSTALACAO. AF_11/2019</v>
      </c>
      <c r="D173" s="129" t="str">
        <f ca="1">IF(OFFSET(PO!O$12,ROW(D173)-ROW(D$12),0)=0,"",OFFSET(PO!O$12,ROW(D173)-ROW(D$12),0))</f>
        <v>UN</v>
      </c>
      <c r="E173" s="165">
        <f ca="1">IF($A173&lt;&gt;"Serviço",0,ROUND(SUMIF($F$9:$P$9,"&lt;&gt;",$F173:$P173),15-13*PO!$X$3))</f>
        <v>14</v>
      </c>
      <c r="F173" s="400">
        <f ca="1">OFFSET(PO!$P$12,ROW($E173)-ROW(F$12),0)</f>
        <v>14</v>
      </c>
      <c r="G173" s="400"/>
      <c r="H173" s="400"/>
      <c r="I173" s="400"/>
      <c r="J173" s="400"/>
      <c r="K173" s="400"/>
      <c r="L173" s="400"/>
      <c r="M173" s="400"/>
      <c r="N173" s="400"/>
      <c r="O173" s="400"/>
      <c r="U173" s="215"/>
    </row>
    <row r="174" spans="1:21" s="4" customFormat="1" x14ac:dyDescent="0.2">
      <c r="A174" s="128" t="str">
        <f ca="1">OFFSET(PO!J$12,ROW(A174)-ROW($A$12),0)</f>
        <v>Serviço</v>
      </c>
      <c r="B174" s="130" t="str">
        <f ca="1">IF($A174=0,"",OFFSET(PO!K$12,ROW(B174)-ROW(B$12),0))</f>
        <v>1.16.3.1.10.</v>
      </c>
      <c r="C174" s="127" t="str">
        <f ca="1">IF(OFFSET(PO!N$12,ROW(C174)-ROW(C$12),0)=0,"",OFFSET(PO!N$12,ROW(C174)-ROW(C$12),0))</f>
        <v>Caixa de passagem 4"x 4" sem placa</v>
      </c>
      <c r="D174" s="129" t="str">
        <f ca="1">IF(OFFSET(PO!O$12,ROW(D174)-ROW(D$12),0)=0,"",OFFSET(PO!O$12,ROW(D174)-ROW(D$12),0))</f>
        <v>UN</v>
      </c>
      <c r="E174" s="165">
        <f ca="1">IF($A174&lt;&gt;"Serviço",0,ROUND(SUMIF($F$9:$P$9,"&lt;&gt;",$F174:$P174),15-13*PO!$X$3))</f>
        <v>5</v>
      </c>
      <c r="F174" s="400">
        <f ca="1">OFFSET(PO!$P$12,ROW($E174)-ROW(F$12),0)</f>
        <v>5</v>
      </c>
      <c r="G174" s="400"/>
      <c r="H174" s="400"/>
      <c r="I174" s="400"/>
      <c r="J174" s="400"/>
      <c r="K174" s="400"/>
      <c r="L174" s="400"/>
      <c r="M174" s="400"/>
      <c r="N174" s="400"/>
      <c r="O174" s="400"/>
      <c r="U174" s="215"/>
    </row>
    <row r="175" spans="1:21" s="4" customFormat="1" x14ac:dyDescent="0.2">
      <c r="A175" s="128" t="str">
        <f ca="1">OFFSET(PO!J$12,ROW(A175)-ROW($A$12),0)</f>
        <v>Serviço</v>
      </c>
      <c r="B175" s="130" t="str">
        <f ca="1">IF($A175=0,"",OFFSET(PO!K$12,ROW(B175)-ROW(B$12),0))</f>
        <v>1.16.3.1.11.</v>
      </c>
      <c r="C175" s="127" t="str">
        <f ca="1">IF(OFFSET(PO!N$12,ROW(C175)-ROW(C$12),0)=0,"",OFFSET(PO!N$12,ROW(C175)-ROW(C$12),0))</f>
        <v>Caixa de passagem 4"x 2" sem placa</v>
      </c>
      <c r="D175" s="129" t="str">
        <f ca="1">IF(OFFSET(PO!O$12,ROW(D175)-ROW(D$12),0)=0,"",OFFSET(PO!O$12,ROW(D175)-ROW(D$12),0))</f>
        <v>UN</v>
      </c>
      <c r="E175" s="165">
        <f ca="1">IF($A175&lt;&gt;"Serviço",0,ROUND(SUMIF($F$9:$P$9,"&lt;&gt;",$F175:$P175),15-13*PO!$X$3))</f>
        <v>88</v>
      </c>
      <c r="F175" s="400">
        <f ca="1">OFFSET(PO!$P$12,ROW($E175)-ROW(F$12),0)</f>
        <v>88</v>
      </c>
      <c r="G175" s="400"/>
      <c r="H175" s="400"/>
      <c r="I175" s="400"/>
      <c r="J175" s="400"/>
      <c r="K175" s="400"/>
      <c r="L175" s="400"/>
      <c r="M175" s="400"/>
      <c r="N175" s="400"/>
      <c r="O175" s="400"/>
      <c r="U175" s="215"/>
    </row>
    <row r="176" spans="1:21" s="4" customFormat="1" ht="25.5" x14ac:dyDescent="0.2">
      <c r="A176" s="128" t="str">
        <f ca="1">OFFSET(PO!J$12,ROW(A176)-ROW($A$12),0)</f>
        <v>Serviço</v>
      </c>
      <c r="B176" s="130" t="str">
        <f ca="1">IF($A176=0,"",OFFSET(PO!K$12,ROW(B176)-ROW(B$12),0))</f>
        <v>1.16.3.1.12.</v>
      </c>
      <c r="C176" s="127" t="str">
        <f ca="1">IF(OFFSET(PO!N$12,ROW(C176)-ROW(C$12),0)=0,"",OFFSET(PO!N$12,ROW(C176)-ROW(C$12),0))</f>
        <v>CAIXA OCTOGONAL 3" X 3", PVC, INSTALADA EM LAJE - FORNECIMENTO E INSTALAÇÃO. AF_12/2015</v>
      </c>
      <c r="D176" s="129" t="str">
        <f ca="1">IF(OFFSET(PO!O$12,ROW(D176)-ROW(D$12),0)=0,"",OFFSET(PO!O$12,ROW(D176)-ROW(D$12),0))</f>
        <v>UN</v>
      </c>
      <c r="E176" s="165">
        <f ca="1">IF($A176&lt;&gt;"Serviço",0,ROUND(SUMIF($F$9:$P$9,"&lt;&gt;",$F176:$P176),15-13*PO!$X$3))</f>
        <v>147</v>
      </c>
      <c r="F176" s="400">
        <f ca="1">OFFSET(PO!$P$12,ROW($E176)-ROW(F$12),0)</f>
        <v>147</v>
      </c>
      <c r="G176" s="400"/>
      <c r="H176" s="400"/>
      <c r="I176" s="400"/>
      <c r="J176" s="400"/>
      <c r="K176" s="400"/>
      <c r="L176" s="400"/>
      <c r="M176" s="400"/>
      <c r="N176" s="400"/>
      <c r="O176" s="400"/>
      <c r="U176" s="215"/>
    </row>
    <row r="177" spans="1:21" s="4" customFormat="1" x14ac:dyDescent="0.2">
      <c r="A177" s="128" t="str">
        <f ca="1">OFFSET(PO!J$12,ROW(A177)-ROW($A$12),0)</f>
        <v>Nível 3</v>
      </c>
      <c r="B177" s="130" t="str">
        <f ca="1">IF($A177=0,"",OFFSET(PO!K$12,ROW(B177)-ROW(B$12),0))</f>
        <v>1.16.4.</v>
      </c>
      <c r="C177" s="127" t="str">
        <f ca="1">IF(OFFSET(PO!N$12,ROW(C177)-ROW(C$12),0)=0,"",OFFSET(PO!N$12,ROW(C177)-ROW(C$12),0))</f>
        <v>CABOS E FIOS (CONDUTORES)</v>
      </c>
      <c r="D177" s="129" t="str">
        <f ca="1">IF(OFFSET(PO!O$12,ROW(D177)-ROW(D$12),0)=0,"",OFFSET(PO!O$12,ROW(D177)-ROW(D$12),0))</f>
        <v/>
      </c>
      <c r="E177" s="165">
        <f ca="1">IF($A177&lt;&gt;"Serviço",0,ROUND(SUMIF($F$9:$P$9,"&lt;&gt;",$F177:$P177),15-13*PO!$X$3))</f>
        <v>0</v>
      </c>
      <c r="F177" s="400">
        <f ca="1">OFFSET(PO!$P$12,ROW($E177)-ROW(F$12),0)</f>
        <v>0</v>
      </c>
      <c r="G177" s="400"/>
      <c r="H177" s="400"/>
      <c r="I177" s="400"/>
      <c r="J177" s="400"/>
      <c r="K177" s="400"/>
      <c r="L177" s="400"/>
      <c r="M177" s="400"/>
      <c r="N177" s="400"/>
      <c r="O177" s="400"/>
      <c r="U177" s="215"/>
    </row>
    <row r="178" spans="1:21" s="4" customFormat="1" x14ac:dyDescent="0.2">
      <c r="A178" s="128" t="str">
        <f ca="1">OFFSET(PO!J$12,ROW(A178)-ROW($A$12),0)</f>
        <v>Nível 4</v>
      </c>
      <c r="B178" s="130" t="str">
        <f ca="1">IF($A178=0,"",OFFSET(PO!K$12,ROW(B178)-ROW(B$12),0))</f>
        <v>1.16.4.1.</v>
      </c>
      <c r="C178" s="127" t="str">
        <f ca="1">IF(OFFSET(PO!N$12,ROW(C178)-ROW(C$12),0)=0,"",OFFSET(PO!N$12,ROW(C178)-ROW(C$12),0))</f>
        <v>Fornecimento, transporte e instalação de cabos:</v>
      </c>
      <c r="D178" s="129" t="str">
        <f ca="1">IF(OFFSET(PO!O$12,ROW(D178)-ROW(D$12),0)=0,"",OFFSET(PO!O$12,ROW(D178)-ROW(D$12),0))</f>
        <v/>
      </c>
      <c r="E178" s="165">
        <f ca="1">IF($A178&lt;&gt;"Serviço",0,ROUND(SUMIF($F$9:$P$9,"&lt;&gt;",$F178:$P178),15-13*PO!$X$3))</f>
        <v>0</v>
      </c>
      <c r="F178" s="400">
        <f ca="1">OFFSET(PO!$P$12,ROW($E178)-ROW(F$12),0)</f>
        <v>0</v>
      </c>
      <c r="G178" s="400"/>
      <c r="H178" s="400"/>
      <c r="I178" s="400"/>
      <c r="J178" s="400"/>
      <c r="K178" s="400"/>
      <c r="L178" s="400"/>
      <c r="M178" s="400"/>
      <c r="N178" s="400"/>
      <c r="O178" s="400"/>
      <c r="U178" s="215"/>
    </row>
    <row r="179" spans="1:21" s="4" customFormat="1" x14ac:dyDescent="0.2">
      <c r="A179" s="128" t="str">
        <f ca="1">OFFSET(PO!J$12,ROW(A179)-ROW($A$12),0)</f>
        <v>Serviço</v>
      </c>
      <c r="B179" s="130" t="str">
        <f ca="1">IF($A179=0,"",OFFSET(PO!K$12,ROW(B179)-ROW(B$12),0))</f>
        <v>1.16.4.1.1.</v>
      </c>
      <c r="C179" s="127" t="str">
        <f ca="1">IF(OFFSET(PO!N$12,ROW(C179)-ROW(C$12),0)=0,"",OFFSET(PO!N$12,ROW(C179)-ROW(C$12),0))</f>
        <v>Isolado de PVC seção 1,5 mm2</v>
      </c>
      <c r="D179" s="129" t="str">
        <f ca="1">IF(OFFSET(PO!O$12,ROW(D179)-ROW(D$12),0)=0,"",OFFSET(PO!O$12,ROW(D179)-ROW(D$12),0))</f>
        <v>M</v>
      </c>
      <c r="E179" s="165">
        <f ca="1">IF($A179&lt;&gt;"Serviço",0,ROUND(SUMIF($F$9:$P$9,"&lt;&gt;",$F179:$P179),15-13*PO!$X$3))</f>
        <v>1520</v>
      </c>
      <c r="F179" s="400">
        <f ca="1">OFFSET(PO!$P$12,ROW($E179)-ROW(F$12),0)</f>
        <v>1520</v>
      </c>
      <c r="G179" s="400"/>
      <c r="H179" s="400"/>
      <c r="I179" s="400"/>
      <c r="J179" s="400"/>
      <c r="K179" s="400"/>
      <c r="L179" s="400"/>
      <c r="M179" s="400"/>
      <c r="N179" s="400"/>
      <c r="O179" s="400"/>
      <c r="U179" s="215"/>
    </row>
    <row r="180" spans="1:21" s="4" customFormat="1" x14ac:dyDescent="0.2">
      <c r="A180" s="128" t="str">
        <f ca="1">OFFSET(PO!J$12,ROW(A180)-ROW($A$12),0)</f>
        <v>Serviço</v>
      </c>
      <c r="B180" s="130" t="str">
        <f ca="1">IF($A180=0,"",OFFSET(PO!K$12,ROW(B180)-ROW(B$12),0))</f>
        <v>1.16.4.1.2.</v>
      </c>
      <c r="C180" s="127" t="str">
        <f ca="1">IF(OFFSET(PO!N$12,ROW(C180)-ROW(C$12),0)=0,"",OFFSET(PO!N$12,ROW(C180)-ROW(C$12),0))</f>
        <v xml:space="preserve">Isolado de PVC seção 2,5 mm2 </v>
      </c>
      <c r="D180" s="129" t="str">
        <f ca="1">IF(OFFSET(PO!O$12,ROW(D180)-ROW(D$12),0)=0,"",OFFSET(PO!O$12,ROW(D180)-ROW(D$12),0))</f>
        <v>M</v>
      </c>
      <c r="E180" s="165">
        <f ca="1">IF($A180&lt;&gt;"Serviço",0,ROUND(SUMIF($F$9:$P$9,"&lt;&gt;",$F180:$P180),15-13*PO!$X$3))</f>
        <v>1416.5</v>
      </c>
      <c r="F180" s="400">
        <f ca="1">OFFSET(PO!$P$12,ROW($E180)-ROW(F$12),0)</f>
        <v>1416.5</v>
      </c>
      <c r="G180" s="400"/>
      <c r="H180" s="400"/>
      <c r="I180" s="400"/>
      <c r="J180" s="400"/>
      <c r="K180" s="400"/>
      <c r="L180" s="400"/>
      <c r="M180" s="400"/>
      <c r="N180" s="400"/>
      <c r="O180" s="400"/>
      <c r="U180" s="215"/>
    </row>
    <row r="181" spans="1:21" s="4" customFormat="1" x14ac:dyDescent="0.2">
      <c r="A181" s="128" t="str">
        <f ca="1">OFFSET(PO!J$12,ROW(A181)-ROW($A$12),0)</f>
        <v>Serviço</v>
      </c>
      <c r="B181" s="130" t="str">
        <f ca="1">IF($A181=0,"",OFFSET(PO!K$12,ROW(B181)-ROW(B$12),0))</f>
        <v>1.16.4.1.3.</v>
      </c>
      <c r="C181" s="127" t="str">
        <f ca="1">IF(OFFSET(PO!N$12,ROW(C181)-ROW(C$12),0)=0,"",OFFSET(PO!N$12,ROW(C181)-ROW(C$12),0))</f>
        <v>Isolado de PVC seção 4,0 mm2</v>
      </c>
      <c r="D181" s="129" t="str">
        <f ca="1">IF(OFFSET(PO!O$12,ROW(D181)-ROW(D$12),0)=0,"",OFFSET(PO!O$12,ROW(D181)-ROW(D$12),0))</f>
        <v>M</v>
      </c>
      <c r="E181" s="165">
        <f ca="1">IF($A181&lt;&gt;"Serviço",0,ROUND(SUMIF($F$9:$P$9,"&lt;&gt;",$F181:$P181),15-13*PO!$X$3))</f>
        <v>169.4</v>
      </c>
      <c r="F181" s="400">
        <f ca="1">OFFSET(PO!$P$12,ROW($E181)-ROW(F$12),0)</f>
        <v>169.4</v>
      </c>
      <c r="G181" s="400"/>
      <c r="H181" s="400"/>
      <c r="I181" s="400"/>
      <c r="J181" s="400"/>
      <c r="K181" s="400"/>
      <c r="L181" s="400"/>
      <c r="M181" s="400"/>
      <c r="N181" s="400"/>
      <c r="O181" s="400"/>
      <c r="U181" s="215"/>
    </row>
    <row r="182" spans="1:21" s="4" customFormat="1" x14ac:dyDescent="0.2">
      <c r="A182" s="128" t="str">
        <f ca="1">OFFSET(PO!J$12,ROW(A182)-ROW($A$12),0)</f>
        <v>Serviço</v>
      </c>
      <c r="B182" s="130" t="str">
        <f ca="1">IF($A182=0,"",OFFSET(PO!K$12,ROW(B182)-ROW(B$12),0))</f>
        <v>1.16.4.1.4.</v>
      </c>
      <c r="C182" s="127" t="str">
        <f ca="1">IF(OFFSET(PO!N$12,ROW(C182)-ROW(C$12),0)=0,"",OFFSET(PO!N$12,ROW(C182)-ROW(C$12),0))</f>
        <v>Isolado de PVC seção 6,0 mm2</v>
      </c>
      <c r="D182" s="129" t="str">
        <f ca="1">IF(OFFSET(PO!O$12,ROW(D182)-ROW(D$12),0)=0,"",OFFSET(PO!O$12,ROW(D182)-ROW(D$12),0))</f>
        <v>M</v>
      </c>
      <c r="E182" s="165">
        <f ca="1">IF($A182&lt;&gt;"Serviço",0,ROUND(SUMIF($F$9:$P$9,"&lt;&gt;",$F182:$P182),15-13*PO!$X$3))</f>
        <v>298.3</v>
      </c>
      <c r="F182" s="400">
        <f ca="1">OFFSET(PO!$P$12,ROW($E182)-ROW(F$12),0)</f>
        <v>298.3</v>
      </c>
      <c r="G182" s="400"/>
      <c r="H182" s="400"/>
      <c r="I182" s="400"/>
      <c r="J182" s="400"/>
      <c r="K182" s="400"/>
      <c r="L182" s="400"/>
      <c r="M182" s="400"/>
      <c r="N182" s="400"/>
      <c r="O182" s="400"/>
      <c r="U182" s="215"/>
    </row>
    <row r="183" spans="1:21" s="4" customFormat="1" x14ac:dyDescent="0.2">
      <c r="A183" s="128" t="str">
        <f ca="1">OFFSET(PO!J$12,ROW(A183)-ROW($A$12),0)</f>
        <v>Serviço</v>
      </c>
      <c r="B183" s="130" t="str">
        <f ca="1">IF($A183=0,"",OFFSET(PO!K$12,ROW(B183)-ROW(B$12),0))</f>
        <v>1.16.4.1.5.</v>
      </c>
      <c r="C183" s="127" t="str">
        <f ca="1">IF(OFFSET(PO!N$12,ROW(C183)-ROW(C$12),0)=0,"",OFFSET(PO!N$12,ROW(C183)-ROW(C$12),0))</f>
        <v>Isolado em PVC seção 10 mm2</v>
      </c>
      <c r="D183" s="129" t="str">
        <f ca="1">IF(OFFSET(PO!O$12,ROW(D183)-ROW(D$12),0)=0,"",OFFSET(PO!O$12,ROW(D183)-ROW(D$12),0))</f>
        <v>M</v>
      </c>
      <c r="E183" s="165">
        <f ca="1">IF($A183&lt;&gt;"Serviço",0,ROUND(SUMIF($F$9:$P$9,"&lt;&gt;",$F183:$P183),15-13*PO!$X$3))</f>
        <v>473.2</v>
      </c>
      <c r="F183" s="400">
        <f ca="1">OFFSET(PO!$P$12,ROW($E183)-ROW(F$12),0)</f>
        <v>473.2</v>
      </c>
      <c r="G183" s="400"/>
      <c r="H183" s="400"/>
      <c r="I183" s="400"/>
      <c r="J183" s="400"/>
      <c r="K183" s="400"/>
      <c r="L183" s="400"/>
      <c r="M183" s="400"/>
      <c r="N183" s="400"/>
      <c r="O183" s="400"/>
      <c r="U183" s="215"/>
    </row>
    <row r="184" spans="1:21" s="4" customFormat="1" x14ac:dyDescent="0.2">
      <c r="A184" s="128" t="str">
        <f ca="1">OFFSET(PO!J$12,ROW(A184)-ROW($A$12),0)</f>
        <v>Serviço</v>
      </c>
      <c r="B184" s="130" t="str">
        <f ca="1">IF($A184=0,"",OFFSET(PO!K$12,ROW(B184)-ROW(B$12),0))</f>
        <v>1.16.4.1.6.</v>
      </c>
      <c r="C184" s="127" t="str">
        <f ca="1">IF(OFFSET(PO!N$12,ROW(C184)-ROW(C$12),0)=0,"",OFFSET(PO!N$12,ROW(C184)-ROW(C$12),0))</f>
        <v>Isolado em PVC seção 16 mm2</v>
      </c>
      <c r="D184" s="129" t="str">
        <f ca="1">IF(OFFSET(PO!O$12,ROW(D184)-ROW(D$12),0)=0,"",OFFSET(PO!O$12,ROW(D184)-ROW(D$12),0))</f>
        <v>M</v>
      </c>
      <c r="E184" s="165">
        <f ca="1">IF($A184&lt;&gt;"Serviço",0,ROUND(SUMIF($F$9:$P$9,"&lt;&gt;",$F184:$P184),15-13*PO!$X$3))</f>
        <v>157.69999999999999</v>
      </c>
      <c r="F184" s="400">
        <f ca="1">OFFSET(PO!$P$12,ROW($E184)-ROW(F$12),0)</f>
        <v>157.69999999999999</v>
      </c>
      <c r="G184" s="400"/>
      <c r="H184" s="400"/>
      <c r="I184" s="400"/>
      <c r="J184" s="400"/>
      <c r="K184" s="400"/>
      <c r="L184" s="400"/>
      <c r="M184" s="400"/>
      <c r="N184" s="400"/>
      <c r="O184" s="400"/>
      <c r="U184" s="215"/>
    </row>
    <row r="185" spans="1:21" s="4" customFormat="1" x14ac:dyDescent="0.2">
      <c r="A185" s="128" t="str">
        <f ca="1">OFFSET(PO!J$12,ROW(A185)-ROW($A$12),0)</f>
        <v>Serviço</v>
      </c>
      <c r="B185" s="130" t="str">
        <f ca="1">IF($A185=0,"",OFFSET(PO!K$12,ROW(B185)-ROW(B$12),0))</f>
        <v>1.16.4.1.7.</v>
      </c>
      <c r="C185" s="127" t="str">
        <f ca="1">IF(OFFSET(PO!N$12,ROW(C185)-ROW(C$12),0)=0,"",OFFSET(PO!N$12,ROW(C185)-ROW(C$12),0))</f>
        <v>Isolado em PVC seção 25 mm2</v>
      </c>
      <c r="D185" s="129" t="str">
        <f ca="1">IF(OFFSET(PO!O$12,ROW(D185)-ROW(D$12),0)=0,"",OFFSET(PO!O$12,ROW(D185)-ROW(D$12),0))</f>
        <v>M</v>
      </c>
      <c r="E185" s="165">
        <f ca="1">IF($A185&lt;&gt;"Serviço",0,ROUND(SUMIF($F$9:$P$9,"&lt;&gt;",$F185:$P185),15-13*PO!$X$3))</f>
        <v>229.8</v>
      </c>
      <c r="F185" s="400">
        <f ca="1">OFFSET(PO!$P$12,ROW($E185)-ROW(F$12),0)</f>
        <v>229.8</v>
      </c>
      <c r="G185" s="400"/>
      <c r="H185" s="400"/>
      <c r="I185" s="400"/>
      <c r="J185" s="400"/>
      <c r="K185" s="400"/>
      <c r="L185" s="400"/>
      <c r="M185" s="400"/>
      <c r="N185" s="400"/>
      <c r="O185" s="400"/>
      <c r="U185" s="215"/>
    </row>
    <row r="186" spans="1:21" s="4" customFormat="1" x14ac:dyDescent="0.2">
      <c r="A186" s="128" t="str">
        <f ca="1">OFFSET(PO!J$12,ROW(A186)-ROW($A$12),0)</f>
        <v>Serviço</v>
      </c>
      <c r="B186" s="130" t="str">
        <f ca="1">IF($A186=0,"",OFFSET(PO!K$12,ROW(B186)-ROW(B$12),0))</f>
        <v>1.16.4.1.8.</v>
      </c>
      <c r="C186" s="127" t="str">
        <f ca="1">IF(OFFSET(PO!N$12,ROW(C186)-ROW(C$12),0)=0,"",OFFSET(PO!N$12,ROW(C186)-ROW(C$12),0))</f>
        <v>Isolado em PVC seção 35 mm2</v>
      </c>
      <c r="D186" s="129" t="str">
        <f ca="1">IF(OFFSET(PO!O$12,ROW(D186)-ROW(D$12),0)=0,"",OFFSET(PO!O$12,ROW(D186)-ROW(D$12),0))</f>
        <v>M</v>
      </c>
      <c r="E186" s="165">
        <f ca="1">IF($A186&lt;&gt;"Serviço",0,ROUND(SUMIF($F$9:$P$9,"&lt;&gt;",$F186:$P186),15-13*PO!$X$3))</f>
        <v>56.8</v>
      </c>
      <c r="F186" s="400">
        <f ca="1">OFFSET(PO!$P$12,ROW($E186)-ROW(F$12),0)</f>
        <v>56.8</v>
      </c>
      <c r="G186" s="400"/>
      <c r="H186" s="400"/>
      <c r="I186" s="400"/>
      <c r="J186" s="400"/>
      <c r="K186" s="400"/>
      <c r="L186" s="400"/>
      <c r="M186" s="400"/>
      <c r="N186" s="400"/>
      <c r="O186" s="400"/>
      <c r="U186" s="215"/>
    </row>
    <row r="187" spans="1:21" s="4" customFormat="1" x14ac:dyDescent="0.2">
      <c r="A187" s="128" t="str">
        <f ca="1">OFFSET(PO!J$12,ROW(A187)-ROW($A$12),0)</f>
        <v>Serviço</v>
      </c>
      <c r="B187" s="130" t="str">
        <f ca="1">IF($A187=0,"",OFFSET(PO!K$12,ROW(B187)-ROW(B$12),0))</f>
        <v>1.16.4.1.9.</v>
      </c>
      <c r="C187" s="127" t="str">
        <f ca="1">IF(OFFSET(PO!N$12,ROW(C187)-ROW(C$12),0)=0,"",OFFSET(PO!N$12,ROW(C187)-ROW(C$12),0))</f>
        <v xml:space="preserve">Isolado em PVC seção 70 mm² </v>
      </c>
      <c r="D187" s="129" t="str">
        <f ca="1">IF(OFFSET(PO!O$12,ROW(D187)-ROW(D$12),0)=0,"",OFFSET(PO!O$12,ROW(D187)-ROW(D$12),0))</f>
        <v>M</v>
      </c>
      <c r="E187" s="165">
        <f ca="1">IF($A187&lt;&gt;"Serviço",0,ROUND(SUMIF($F$9:$P$9,"&lt;&gt;",$F187:$P187),15-13*PO!$X$3))</f>
        <v>227.1</v>
      </c>
      <c r="F187" s="400">
        <f ca="1">OFFSET(PO!$P$12,ROW($E187)-ROW(F$12),0)</f>
        <v>227.1</v>
      </c>
      <c r="G187" s="400"/>
      <c r="H187" s="400"/>
      <c r="I187" s="400"/>
      <c r="J187" s="400"/>
      <c r="K187" s="400"/>
      <c r="L187" s="400"/>
      <c r="M187" s="400"/>
      <c r="N187" s="400"/>
      <c r="O187" s="400"/>
      <c r="U187" s="215"/>
    </row>
    <row r="188" spans="1:21" s="4" customFormat="1" ht="38.25" x14ac:dyDescent="0.2">
      <c r="A188" s="128" t="str">
        <f ca="1">OFFSET(PO!J$12,ROW(A188)-ROW($A$12),0)</f>
        <v>Serviço</v>
      </c>
      <c r="B188" s="130" t="str">
        <f ca="1">IF($A188=0,"",OFFSET(PO!K$12,ROW(B188)-ROW(B$12),0))</f>
        <v>1.16.4.1.10.</v>
      </c>
      <c r="C188" s="127" t="str">
        <f ca="1">IF(OFFSET(PO!N$12,ROW(C188)-ROW(C$12),0)=0,"",OFFSET(PO!N$12,ROW(C188)-ROW(C$12),0))</f>
        <v>CABO DE COBRE FLEXÍVEL ISOLADO, 95 MM², ANTI-CHAMA 450/750 V, PARA DISTRIBUIÇÃO - FORNECIMENTO E INSTALAÇÃO. AF_12/2015</v>
      </c>
      <c r="D188" s="129" t="str">
        <f ca="1">IF(OFFSET(PO!O$12,ROW(D188)-ROW(D$12),0)=0,"",OFFSET(PO!O$12,ROW(D188)-ROW(D$12),0))</f>
        <v>M</v>
      </c>
      <c r="E188" s="165">
        <f ca="1">IF($A188&lt;&gt;"Serviço",0,ROUND(SUMIF($F$9:$P$9,"&lt;&gt;",$F188:$P188),15-13*PO!$X$3))</f>
        <v>12.9</v>
      </c>
      <c r="F188" s="400">
        <f ca="1">OFFSET(PO!$P$12,ROW($E188)-ROW(F$12),0)</f>
        <v>12.9</v>
      </c>
      <c r="G188" s="400"/>
      <c r="H188" s="400"/>
      <c r="I188" s="400"/>
      <c r="J188" s="400"/>
      <c r="K188" s="400"/>
      <c r="L188" s="400"/>
      <c r="M188" s="400"/>
      <c r="N188" s="400"/>
      <c r="O188" s="400"/>
      <c r="U188" s="215"/>
    </row>
    <row r="189" spans="1:21" s="4" customFormat="1" ht="38.25" x14ac:dyDescent="0.2">
      <c r="A189" s="128" t="str">
        <f ca="1">OFFSET(PO!J$12,ROW(A189)-ROW($A$12),0)</f>
        <v>Serviço</v>
      </c>
      <c r="B189" s="130" t="str">
        <f ca="1">IF($A189=0,"",OFFSET(PO!K$12,ROW(B189)-ROW(B$12),0))</f>
        <v>1.16.4.1.11.</v>
      </c>
      <c r="C189" s="127" t="str">
        <f ca="1">IF(OFFSET(PO!N$12,ROW(C189)-ROW(C$12),0)=0,"",OFFSET(PO!N$12,ROW(C189)-ROW(C$12),0))</f>
        <v>CABO DE COBRE FLEXÍVEL ISOLADO, 185 MM², ANTI-CHAMA 450/750 V, PARA DISTRIBUIÇÃO - FORNECIMENTO E INSTALAÇÃO. AF_12/2015</v>
      </c>
      <c r="D189" s="129" t="str">
        <f ca="1">IF(OFFSET(PO!O$12,ROW(D189)-ROW(D$12),0)=0,"",OFFSET(PO!O$12,ROW(D189)-ROW(D$12),0))</f>
        <v>M</v>
      </c>
      <c r="E189" s="165">
        <f ca="1">IF($A189&lt;&gt;"Serviço",0,ROUND(SUMIF($F$9:$P$9,"&lt;&gt;",$F189:$P189),15-13*PO!$X$3))</f>
        <v>51.6</v>
      </c>
      <c r="F189" s="400">
        <f ca="1">OFFSET(PO!$P$12,ROW($E189)-ROW(F$12),0)</f>
        <v>51.6</v>
      </c>
      <c r="G189" s="400"/>
      <c r="H189" s="400"/>
      <c r="I189" s="400"/>
      <c r="J189" s="400"/>
      <c r="K189" s="400"/>
      <c r="L189" s="400"/>
      <c r="M189" s="400"/>
      <c r="N189" s="400"/>
      <c r="O189" s="400"/>
      <c r="U189" s="215"/>
    </row>
    <row r="190" spans="1:21" s="4" customFormat="1" ht="38.25" x14ac:dyDescent="0.2">
      <c r="A190" s="128" t="str">
        <f ca="1">OFFSET(PO!J$12,ROW(A190)-ROW($A$12),0)</f>
        <v>Serviço</v>
      </c>
      <c r="B190" s="130" t="str">
        <f ca="1">IF($A190=0,"",OFFSET(PO!K$12,ROW(B190)-ROW(B$12),0))</f>
        <v>1.16.4.1.12.</v>
      </c>
      <c r="C190" s="127" t="str">
        <f ca="1">IF(OFFSET(PO!N$12,ROW(C190)-ROW(C$12),0)=0,"",OFFSET(PO!N$12,ROW(C190)-ROW(C$12),0))</f>
        <v>CABO TELEFÔNICO CCI-50 2 PARES, SEM BLINDAGEM, INSTALADO EM DISTRIBUIÇÃO DE EDIFICAÇÃO RESIDENCIAL - FORNECIMENTO E INSTALAÇÃO. AF_11/2019</v>
      </c>
      <c r="D190" s="129" t="str">
        <f ca="1">IF(OFFSET(PO!O$12,ROW(D190)-ROW(D$12),0)=0,"",OFFSET(PO!O$12,ROW(D190)-ROW(D$12),0))</f>
        <v>M</v>
      </c>
      <c r="E190" s="165">
        <f ca="1">IF($A190&lt;&gt;"Serviço",0,ROUND(SUMIF($F$9:$P$9,"&lt;&gt;",$F190:$P190),15-13*PO!$X$3))</f>
        <v>52.6</v>
      </c>
      <c r="F190" s="400">
        <f ca="1">OFFSET(PO!$P$12,ROW($E190)-ROW(F$12),0)</f>
        <v>52.6</v>
      </c>
      <c r="G190" s="400"/>
      <c r="H190" s="400"/>
      <c r="I190" s="400"/>
      <c r="J190" s="400"/>
      <c r="K190" s="400"/>
      <c r="L190" s="400"/>
      <c r="M190" s="400"/>
      <c r="N190" s="400"/>
      <c r="O190" s="400"/>
      <c r="U190" s="215"/>
    </row>
    <row r="191" spans="1:21" s="4" customFormat="1" x14ac:dyDescent="0.2">
      <c r="A191" s="128" t="str">
        <f ca="1">OFFSET(PO!J$12,ROW(A191)-ROW($A$12),0)</f>
        <v>Nível 3</v>
      </c>
      <c r="B191" s="130" t="str">
        <f ca="1">IF($A191=0,"",OFFSET(PO!K$12,ROW(B191)-ROW(B$12),0))</f>
        <v>1.16.5.</v>
      </c>
      <c r="C191" s="127" t="str">
        <f ca="1">IF(OFFSET(PO!N$12,ROW(C191)-ROW(C$12),0)=0,"",OFFSET(PO!N$12,ROW(C191)-ROW(C$12),0))</f>
        <v>ILUMINAÇÃO E TOMADAS</v>
      </c>
      <c r="D191" s="129" t="str">
        <f ca="1">IF(OFFSET(PO!O$12,ROW(D191)-ROW(D$12),0)=0,"",OFFSET(PO!O$12,ROW(D191)-ROW(D$12),0))</f>
        <v/>
      </c>
      <c r="E191" s="165">
        <f ca="1">IF($A191&lt;&gt;"Serviço",0,ROUND(SUMIF($F$9:$P$9,"&lt;&gt;",$F191:$P191),15-13*PO!$X$3))</f>
        <v>0</v>
      </c>
      <c r="F191" s="400">
        <f ca="1">OFFSET(PO!$P$12,ROW($E191)-ROW(F$12),0)</f>
        <v>0</v>
      </c>
      <c r="G191" s="400"/>
      <c r="H191" s="400"/>
      <c r="I191" s="400"/>
      <c r="J191" s="400"/>
      <c r="K191" s="400"/>
      <c r="L191" s="400"/>
      <c r="M191" s="400"/>
      <c r="N191" s="400"/>
      <c r="O191" s="400"/>
      <c r="U191" s="215"/>
    </row>
    <row r="192" spans="1:21" s="4" customFormat="1" x14ac:dyDescent="0.2">
      <c r="A192" s="128" t="str">
        <f ca="1">OFFSET(PO!J$12,ROW(A192)-ROW($A$12),0)</f>
        <v>Serviço</v>
      </c>
      <c r="B192" s="130" t="str">
        <f ca="1">IF($A192=0,"",OFFSET(PO!K$12,ROW(B192)-ROW(B$12),0))</f>
        <v>1.16.5.0.1.</v>
      </c>
      <c r="C192" s="127" t="str">
        <f ca="1">IF(OFFSET(PO!N$12,ROW(C192)-ROW(C$12),0)=0,"",OFFSET(PO!N$12,ROW(C192)-ROW(C$12),0))</f>
        <v>Tomada universal 2 P+T</v>
      </c>
      <c r="D192" s="129" t="str">
        <f ca="1">IF(OFFSET(PO!O$12,ROW(D192)-ROW(D$12),0)=0,"",OFFSET(PO!O$12,ROW(D192)-ROW(D$12),0))</f>
        <v>UN</v>
      </c>
      <c r="E192" s="165">
        <f ca="1">IF($A192&lt;&gt;"Serviço",0,ROUND(SUMIF($F$9:$P$9,"&lt;&gt;",$F192:$P192),15-13*PO!$X$3))</f>
        <v>56</v>
      </c>
      <c r="F192" s="400">
        <f ca="1">OFFSET(PO!$P$12,ROW($E192)-ROW(F$12),0)</f>
        <v>56</v>
      </c>
      <c r="G192" s="400"/>
      <c r="H192" s="400"/>
      <c r="I192" s="400"/>
      <c r="J192" s="400"/>
      <c r="K192" s="400"/>
      <c r="L192" s="400"/>
      <c r="M192" s="400"/>
      <c r="N192" s="400"/>
      <c r="O192" s="400"/>
      <c r="U192" s="215"/>
    </row>
    <row r="193" spans="1:21" s="4" customFormat="1" ht="38.25" x14ac:dyDescent="0.2">
      <c r="A193" s="128" t="str">
        <f ca="1">OFFSET(PO!J$12,ROW(A193)-ROW($A$12),0)</f>
        <v>Serviço</v>
      </c>
      <c r="B193" s="130" t="str">
        <f ca="1">IF($A193=0,"",OFFSET(PO!K$12,ROW(B193)-ROW(B$12),0))</f>
        <v>1.16.5.0.2.</v>
      </c>
      <c r="C193" s="127" t="str">
        <f ca="1">IF(OFFSET(PO!N$12,ROW(C193)-ROW(C$12),0)=0,"",OFFSET(PO!N$12,ROW(C193)-ROW(C$12),0))</f>
        <v>TOMADA BAIXA DE EMBUTIR (1 MÓDULO), 2P+T 20 A, INCLUINDO SUPORTE E PLACA - FORNECIMENTO E INSTALAÇÃO. AF_12/2015</v>
      </c>
      <c r="D193" s="129" t="str">
        <f ca="1">IF(OFFSET(PO!O$12,ROW(D193)-ROW(D$12),0)=0,"",OFFSET(PO!O$12,ROW(D193)-ROW(D$12),0))</f>
        <v>UN</v>
      </c>
      <c r="E193" s="165">
        <f ca="1">IF($A193&lt;&gt;"Serviço",0,ROUND(SUMIF($F$9:$P$9,"&lt;&gt;",$F193:$P193),15-13*PO!$X$3))</f>
        <v>4</v>
      </c>
      <c r="F193" s="400">
        <f ca="1">OFFSET(PO!$P$12,ROW($E193)-ROW(F$12),0)</f>
        <v>4</v>
      </c>
      <c r="G193" s="400"/>
      <c r="H193" s="400"/>
      <c r="I193" s="400"/>
      <c r="J193" s="400"/>
      <c r="K193" s="400"/>
      <c r="L193" s="400"/>
      <c r="M193" s="400"/>
      <c r="N193" s="400"/>
      <c r="O193" s="400"/>
      <c r="U193" s="215"/>
    </row>
    <row r="194" spans="1:21" s="4" customFormat="1" x14ac:dyDescent="0.2">
      <c r="A194" s="128" t="str">
        <f ca="1">OFFSET(PO!J$12,ROW(A194)-ROW($A$12),0)</f>
        <v>Serviço</v>
      </c>
      <c r="B194" s="130" t="str">
        <f ca="1">IF($A194=0,"",OFFSET(PO!K$12,ROW(B194)-ROW(B$12),0))</f>
        <v>1.16.5.0.3.</v>
      </c>
      <c r="C194" s="127" t="str">
        <f ca="1">IF(OFFSET(PO!N$12,ROW(C194)-ROW(C$12),0)=0,"",OFFSET(PO!N$12,ROW(C194)-ROW(C$12),0))</f>
        <v xml:space="preserve">Interruptor 01 tecla simples 10A - 250V </v>
      </c>
      <c r="D194" s="129" t="str">
        <f ca="1">IF(OFFSET(PO!O$12,ROW(D194)-ROW(D$12),0)=0,"",OFFSET(PO!O$12,ROW(D194)-ROW(D$12),0))</f>
        <v>UN</v>
      </c>
      <c r="E194" s="165">
        <f ca="1">IF($A194&lt;&gt;"Serviço",0,ROUND(SUMIF($F$9:$P$9,"&lt;&gt;",$F194:$P194),15-13*PO!$X$3))</f>
        <v>7</v>
      </c>
      <c r="F194" s="400">
        <f ca="1">OFFSET(PO!$P$12,ROW($E194)-ROW(F$12),0)</f>
        <v>7</v>
      </c>
      <c r="G194" s="400"/>
      <c r="H194" s="400"/>
      <c r="I194" s="400"/>
      <c r="J194" s="400"/>
      <c r="K194" s="400"/>
      <c r="L194" s="400"/>
      <c r="M194" s="400"/>
      <c r="N194" s="400"/>
      <c r="O194" s="400"/>
      <c r="U194" s="215"/>
    </row>
    <row r="195" spans="1:21" s="4" customFormat="1" x14ac:dyDescent="0.2">
      <c r="A195" s="128" t="str">
        <f ca="1">OFFSET(PO!J$12,ROW(A195)-ROW($A$12),0)</f>
        <v>Serviço</v>
      </c>
      <c r="B195" s="130" t="str">
        <f ca="1">IF($A195=0,"",OFFSET(PO!K$12,ROW(B195)-ROW(B$12),0))</f>
        <v>1.16.5.0.4.</v>
      </c>
      <c r="C195" s="127" t="str">
        <f ca="1">IF(OFFSET(PO!N$12,ROW(C195)-ROW(C$12),0)=0,"",OFFSET(PO!N$12,ROW(C195)-ROW(C$12),0))</f>
        <v>02 teclas simples 10A - 250V</v>
      </c>
      <c r="D195" s="129" t="str">
        <f ca="1">IF(OFFSET(PO!O$12,ROW(D195)-ROW(D$12),0)=0,"",OFFSET(PO!O$12,ROW(D195)-ROW(D$12),0))</f>
        <v>UN</v>
      </c>
      <c r="E195" s="165">
        <f ca="1">IF($A195&lt;&gt;"Serviço",0,ROUND(SUMIF($F$9:$P$9,"&lt;&gt;",$F195:$P195),15-13*PO!$X$3))</f>
        <v>1</v>
      </c>
      <c r="F195" s="400">
        <f ca="1">OFFSET(PO!$P$12,ROW($E195)-ROW(F$12),0)</f>
        <v>1</v>
      </c>
      <c r="G195" s="400"/>
      <c r="H195" s="400"/>
      <c r="I195" s="400"/>
      <c r="J195" s="400"/>
      <c r="K195" s="400"/>
      <c r="L195" s="400"/>
      <c r="M195" s="400"/>
      <c r="N195" s="400"/>
      <c r="O195" s="400"/>
      <c r="U195" s="215"/>
    </row>
    <row r="196" spans="1:21" s="4" customFormat="1" x14ac:dyDescent="0.2">
      <c r="A196" s="128" t="str">
        <f ca="1">OFFSET(PO!J$12,ROW(A196)-ROW($A$12),0)</f>
        <v>Serviço</v>
      </c>
      <c r="B196" s="130" t="str">
        <f ca="1">IF($A196=0,"",OFFSET(PO!K$12,ROW(B196)-ROW(B$12),0))</f>
        <v>1.16.5.0.5.</v>
      </c>
      <c r="C196" s="127" t="str">
        <f ca="1">IF(OFFSET(PO!N$12,ROW(C196)-ROW(C$12),0)=0,"",OFFSET(PO!N$12,ROW(C196)-ROW(C$12),0))</f>
        <v>03 teclas simples 10A - 250V</v>
      </c>
      <c r="D196" s="129" t="str">
        <f ca="1">IF(OFFSET(PO!O$12,ROW(D196)-ROW(D$12),0)=0,"",OFFSET(PO!O$12,ROW(D196)-ROW(D$12),0))</f>
        <v>UN</v>
      </c>
      <c r="E196" s="165">
        <f ca="1">IF($A196&lt;&gt;"Serviço",0,ROUND(SUMIF($F$9:$P$9,"&lt;&gt;",$F196:$P196),15-13*PO!$X$3))</f>
        <v>11</v>
      </c>
      <c r="F196" s="400">
        <f ca="1">OFFSET(PO!$P$12,ROW($E196)-ROW(F$12),0)</f>
        <v>11</v>
      </c>
      <c r="G196" s="400"/>
      <c r="H196" s="400"/>
      <c r="I196" s="400"/>
      <c r="J196" s="400"/>
      <c r="K196" s="400"/>
      <c r="L196" s="400"/>
      <c r="M196" s="400"/>
      <c r="N196" s="400"/>
      <c r="O196" s="400"/>
      <c r="U196" s="215"/>
    </row>
    <row r="197" spans="1:21" s="4" customFormat="1" ht="38.25" x14ac:dyDescent="0.2">
      <c r="A197" s="128" t="str">
        <f ca="1">OFFSET(PO!J$12,ROW(A197)-ROW($A$12),0)</f>
        <v>Serviço</v>
      </c>
      <c r="B197" s="130" t="str">
        <f ca="1">IF($A197=0,"",OFFSET(PO!K$12,ROW(B197)-ROW(B$12),0))</f>
        <v>1.16.5.0.6.</v>
      </c>
      <c r="C197" s="127" t="str">
        <f ca="1">IF(OFFSET(PO!N$12,ROW(C197)-ROW(C$12),0)=0,"",OFFSET(PO!N$12,ROW(C197)-ROW(C$12),0))</f>
        <v>INTERRUPTOR SIMPLES (1 MÓDULO) COM 1 TOMADA DE EMBUTIR 2P+T 10 A, INCLUINDO SUPORTE E PLACA - FORNECIMENTO E INSTALAÇÃO. AF_12/2015</v>
      </c>
      <c r="D197" s="129" t="str">
        <f ca="1">IF(OFFSET(PO!O$12,ROW(D197)-ROW(D$12),0)=0,"",OFFSET(PO!O$12,ROW(D197)-ROW(D$12),0))</f>
        <v>UN</v>
      </c>
      <c r="E197" s="165">
        <f ca="1">IF($A197&lt;&gt;"Serviço",0,ROUND(SUMIF($F$9:$P$9,"&lt;&gt;",$F197:$P197),15-13*PO!$X$3))</f>
        <v>3</v>
      </c>
      <c r="F197" s="400">
        <f ca="1">OFFSET(PO!$P$12,ROW($E197)-ROW(F$12),0)</f>
        <v>3</v>
      </c>
      <c r="G197" s="400"/>
      <c r="H197" s="400"/>
      <c r="I197" s="400"/>
      <c r="J197" s="400"/>
      <c r="K197" s="400"/>
      <c r="L197" s="400"/>
      <c r="M197" s="400"/>
      <c r="N197" s="400"/>
      <c r="O197" s="400"/>
      <c r="U197" s="215"/>
    </row>
    <row r="198" spans="1:21" s="4" customFormat="1" x14ac:dyDescent="0.2">
      <c r="A198" s="128" t="str">
        <f ca="1">OFFSET(PO!J$12,ROW(A198)-ROW($A$12),0)</f>
        <v>Serviço</v>
      </c>
      <c r="B198" s="130" t="str">
        <f ca="1">IF($A198=0,"",OFFSET(PO!K$12,ROW(B198)-ROW(B$12),0))</f>
        <v>1.16.5.0.7.</v>
      </c>
      <c r="C198" s="127" t="str">
        <f ca="1">IF(OFFSET(PO!N$12,ROW(C198)-ROW(C$12),0)=0,"",OFFSET(PO!N$12,ROW(C198)-ROW(C$12),0))</f>
        <v>Placa cega 2x4''</v>
      </c>
      <c r="D198" s="129" t="str">
        <f ca="1">IF(OFFSET(PO!O$12,ROW(D198)-ROW(D$12),0)=0,"",OFFSET(PO!O$12,ROW(D198)-ROW(D$12),0))</f>
        <v>UN</v>
      </c>
      <c r="E198" s="165">
        <f ca="1">IF($A198&lt;&gt;"Serviço",0,ROUND(SUMIF($F$9:$P$9,"&lt;&gt;",$F198:$P198),15-13*PO!$X$3))</f>
        <v>7</v>
      </c>
      <c r="F198" s="400">
        <f ca="1">OFFSET(PO!$P$12,ROW($E198)-ROW(F$12),0)</f>
        <v>7</v>
      </c>
      <c r="G198" s="400"/>
      <c r="H198" s="400"/>
      <c r="I198" s="400"/>
      <c r="J198" s="400"/>
      <c r="K198" s="400"/>
      <c r="L198" s="400"/>
      <c r="M198" s="400"/>
      <c r="N198" s="400"/>
      <c r="O198" s="400"/>
      <c r="U198" s="215"/>
    </row>
    <row r="199" spans="1:21" s="4" customFormat="1" x14ac:dyDescent="0.2">
      <c r="A199" s="128" t="str">
        <f ca="1">OFFSET(PO!J$12,ROW(A199)-ROW($A$12),0)</f>
        <v>Serviço</v>
      </c>
      <c r="B199" s="130" t="str">
        <f ca="1">IF($A199=0,"",OFFSET(PO!K$12,ROW(B199)-ROW(B$12),0))</f>
        <v>1.16.5.0.8.</v>
      </c>
      <c r="C199" s="127" t="str">
        <f ca="1">IF(OFFSET(PO!N$12,ROW(C199)-ROW(C$12),0)=0,"",OFFSET(PO!N$12,ROW(C199)-ROW(C$12),0))</f>
        <v>LUMINÁRIA FLUORESCENTE COMPLETA (2 X 32)W</v>
      </c>
      <c r="D199" s="129" t="str">
        <f ca="1">IF(OFFSET(PO!O$12,ROW(D199)-ROW(D$12),0)=0,"",OFFSET(PO!O$12,ROW(D199)-ROW(D$12),0))</f>
        <v>UN</v>
      </c>
      <c r="E199" s="165">
        <f ca="1">IF($A199&lt;&gt;"Serviço",0,ROUND(SUMIF($F$9:$P$9,"&lt;&gt;",$F199:$P199),15-13*PO!$X$3))</f>
        <v>74</v>
      </c>
      <c r="F199" s="400">
        <f ca="1">OFFSET(PO!$P$12,ROW($E199)-ROW(F$12),0)</f>
        <v>74</v>
      </c>
      <c r="G199" s="400"/>
      <c r="H199" s="400"/>
      <c r="I199" s="400"/>
      <c r="J199" s="400"/>
      <c r="K199" s="400"/>
      <c r="L199" s="400"/>
      <c r="M199" s="400"/>
      <c r="N199" s="400"/>
      <c r="O199" s="400"/>
      <c r="U199" s="215"/>
    </row>
    <row r="200" spans="1:21" s="4" customFormat="1" x14ac:dyDescent="0.2">
      <c r="A200" s="128" t="str">
        <f ca="1">OFFSET(PO!J$12,ROW(A200)-ROW($A$12),0)</f>
        <v>Serviço</v>
      </c>
      <c r="B200" s="130" t="str">
        <f ca="1">IF($A200=0,"",OFFSET(PO!K$12,ROW(B200)-ROW(B$12),0))</f>
        <v>1.16.5.0.9.</v>
      </c>
      <c r="C200" s="127" t="str">
        <f ca="1">IF(OFFSET(PO!N$12,ROW(C200)-ROW(C$12),0)=0,"",OFFSET(PO!N$12,ROW(C200)-ROW(C$12),0))</f>
        <v>LUMINÁRIA FLUORESCENTE COMPLETA (2 X 16)W</v>
      </c>
      <c r="D200" s="129" t="str">
        <f ca="1">IF(OFFSET(PO!O$12,ROW(D200)-ROW(D$12),0)=0,"",OFFSET(PO!O$12,ROW(D200)-ROW(D$12),0))</f>
        <v>UN</v>
      </c>
      <c r="E200" s="165">
        <f ca="1">IF($A200&lt;&gt;"Serviço",0,ROUND(SUMIF($F$9:$P$9,"&lt;&gt;",$F200:$P200),15-13*PO!$X$3))</f>
        <v>3</v>
      </c>
      <c r="F200" s="400">
        <f ca="1">OFFSET(PO!$P$12,ROW($E200)-ROW(F$12),0)</f>
        <v>3</v>
      </c>
      <c r="G200" s="400"/>
      <c r="H200" s="400"/>
      <c r="I200" s="400"/>
      <c r="J200" s="400"/>
      <c r="K200" s="400"/>
      <c r="L200" s="400"/>
      <c r="M200" s="400"/>
      <c r="N200" s="400"/>
      <c r="O200" s="400"/>
      <c r="U200" s="215"/>
    </row>
    <row r="201" spans="1:21" s="4" customFormat="1" ht="25.5" x14ac:dyDescent="0.2">
      <c r="A201" s="128" t="str">
        <f ca="1">OFFSET(PO!J$12,ROW(A201)-ROW($A$12),0)</f>
        <v>Serviço</v>
      </c>
      <c r="B201" s="130" t="str">
        <f ca="1">IF($A201=0,"",OFFSET(PO!K$12,ROW(B201)-ROW(B$12),0))</f>
        <v>1.16.5.0.10.</v>
      </c>
      <c r="C201" s="127" t="str">
        <f ca="1">IF(OFFSET(PO!N$12,ROW(C201)-ROW(C$12),0)=0,"",OFFSET(PO!N$12,ROW(C201)-ROW(C$12),0))</f>
        <v>PROJETOR EM ALUMÍNIO, C/ LÂMPADA DE VAPOR METÁLICO E FOTOCÉLULA ATÉ 400W</v>
      </c>
      <c r="D201" s="129" t="str">
        <f ca="1">IF(OFFSET(PO!O$12,ROW(D201)-ROW(D$12),0)=0,"",OFFSET(PO!O$12,ROW(D201)-ROW(D$12),0))</f>
        <v>UN</v>
      </c>
      <c r="E201" s="165">
        <f ca="1">IF($A201&lt;&gt;"Serviço",0,ROUND(SUMIF($F$9:$P$9,"&lt;&gt;",$F201:$P201),15-13*PO!$X$3))</f>
        <v>13</v>
      </c>
      <c r="F201" s="400">
        <f ca="1">OFFSET(PO!$P$12,ROW($E201)-ROW(F$12),0)</f>
        <v>13</v>
      </c>
      <c r="G201" s="400"/>
      <c r="H201" s="400"/>
      <c r="I201" s="400"/>
      <c r="J201" s="400"/>
      <c r="K201" s="400"/>
      <c r="L201" s="400"/>
      <c r="M201" s="400"/>
      <c r="N201" s="400"/>
      <c r="O201" s="400"/>
      <c r="U201" s="215"/>
    </row>
    <row r="202" spans="1:21" s="4" customFormat="1" ht="25.5" x14ac:dyDescent="0.2">
      <c r="A202" s="128" t="str">
        <f ca="1">OFFSET(PO!J$12,ROW(A202)-ROW($A$12),0)</f>
        <v>Serviço</v>
      </c>
      <c r="B202" s="130" t="str">
        <f ca="1">IF($A202=0,"",OFFSET(PO!K$12,ROW(B202)-ROW(B$12),0))</f>
        <v>1.16.5.0.11.</v>
      </c>
      <c r="C202" s="127" t="str">
        <f ca="1">IF(OFFSET(PO!N$12,ROW(C202)-ROW(C$12),0)=0,"",OFFSET(PO!N$12,ROW(C202)-ROW(C$12),0))</f>
        <v>TOMADA DE REDE RJ45 - FORNECIMENTO E INSTALAÇÃO. AF_11/2019</v>
      </c>
      <c r="D202" s="129" t="str">
        <f ca="1">IF(OFFSET(PO!O$12,ROW(D202)-ROW(D$12),0)=0,"",OFFSET(PO!O$12,ROW(D202)-ROW(D$12),0))</f>
        <v>UN</v>
      </c>
      <c r="E202" s="165">
        <f ca="1">IF($A202&lt;&gt;"Serviço",0,ROUND(SUMIF($F$9:$P$9,"&lt;&gt;",$F202:$P202),15-13*PO!$X$3))</f>
        <v>10</v>
      </c>
      <c r="F202" s="400">
        <f ca="1">OFFSET(PO!$P$12,ROW($E202)-ROW(F$12),0)</f>
        <v>10</v>
      </c>
      <c r="G202" s="400"/>
      <c r="H202" s="400"/>
      <c r="I202" s="400"/>
      <c r="J202" s="400"/>
      <c r="K202" s="400"/>
      <c r="L202" s="400"/>
      <c r="M202" s="400"/>
      <c r="N202" s="400"/>
      <c r="O202" s="400"/>
      <c r="U202" s="215"/>
    </row>
    <row r="203" spans="1:21" s="4" customFormat="1" ht="25.5" x14ac:dyDescent="0.2">
      <c r="A203" s="128" t="str">
        <f ca="1">OFFSET(PO!J$12,ROW(A203)-ROW($A$12),0)</f>
        <v>Nível 2</v>
      </c>
      <c r="B203" s="130" t="str">
        <f ca="1">IF($A203=0,"",OFFSET(PO!K$12,ROW(B203)-ROW(B$12),0))</f>
        <v>1.17.</v>
      </c>
      <c r="C203" s="127" t="str">
        <f ca="1">IF(OFFSET(PO!N$12,ROW(C203)-ROW(C$12),0)=0,"",OFFSET(PO!N$12,ROW(C203)-ROW(C$12),0))</f>
        <v>SISTEMA DE PROTEÇÃO CONTRA DESCARGAS ATMOSFÉRICAS (SPDA)</v>
      </c>
      <c r="D203" s="129" t="str">
        <f ca="1">IF(OFFSET(PO!O$12,ROW(D203)-ROW(D$12),0)=0,"",OFFSET(PO!O$12,ROW(D203)-ROW(D$12),0))</f>
        <v/>
      </c>
      <c r="E203" s="165">
        <f ca="1">IF($A203&lt;&gt;"Serviço",0,ROUND(SUMIF($F$9:$P$9,"&lt;&gt;",$F203:$P203),15-13*PO!$X$3))</f>
        <v>0</v>
      </c>
      <c r="F203" s="400">
        <f ca="1">OFFSET(PO!$P$12,ROW($E203)-ROW(F$12),0)</f>
        <v>0</v>
      </c>
      <c r="G203" s="400"/>
      <c r="H203" s="400"/>
      <c r="I203" s="400"/>
      <c r="J203" s="400"/>
      <c r="K203" s="400"/>
      <c r="L203" s="400"/>
      <c r="M203" s="400"/>
      <c r="N203" s="400"/>
      <c r="O203" s="400"/>
      <c r="U203" s="215"/>
    </row>
    <row r="204" spans="1:21" s="4" customFormat="1" ht="25.5" x14ac:dyDescent="0.2">
      <c r="A204" s="128" t="str">
        <f ca="1">OFFSET(PO!J$12,ROW(A204)-ROW($A$12),0)</f>
        <v>Serviço</v>
      </c>
      <c r="B204" s="130" t="str">
        <f ca="1">IF($A204=0,"",OFFSET(PO!K$12,ROW(B204)-ROW(B$12),0))</f>
        <v>1.17.0.0.1.</v>
      </c>
      <c r="C204" s="127" t="str">
        <f ca="1">IF(OFFSET(PO!N$12,ROW(C204)-ROW(C$12),0)=0,"",OFFSET(PO!N$12,ROW(C204)-ROW(C$12),0))</f>
        <v>CAPTOR TIPO FRANKLIN PARA SPDA - FORNECIMENTO E INSTALAÇÃO. AF_12/2017</v>
      </c>
      <c r="D204" s="129" t="str">
        <f ca="1">IF(OFFSET(PO!O$12,ROW(D204)-ROW(D$12),0)=0,"",OFFSET(PO!O$12,ROW(D204)-ROW(D$12),0))</f>
        <v>UN</v>
      </c>
      <c r="E204" s="165">
        <f ca="1">IF($A204&lt;&gt;"Serviço",0,ROUND(SUMIF($F$9:$P$9,"&lt;&gt;",$F204:$P204),15-13*PO!$X$3))</f>
        <v>1</v>
      </c>
      <c r="F204" s="400">
        <f ca="1">OFFSET(PO!$P$12,ROW($E204)-ROW(F$12),0)</f>
        <v>1</v>
      </c>
      <c r="G204" s="400"/>
      <c r="H204" s="400"/>
      <c r="I204" s="400"/>
      <c r="J204" s="400"/>
      <c r="K204" s="400"/>
      <c r="L204" s="400"/>
      <c r="M204" s="400"/>
      <c r="N204" s="400"/>
      <c r="O204" s="400"/>
      <c r="U204" s="215"/>
    </row>
    <row r="205" spans="1:21" s="4" customFormat="1" x14ac:dyDescent="0.2">
      <c r="A205" s="128" t="str">
        <f ca="1">OFFSET(PO!J$12,ROW(A205)-ROW($A$12),0)</f>
        <v>Serviço</v>
      </c>
      <c r="B205" s="130" t="str">
        <f ca="1">IF($A205=0,"",OFFSET(PO!K$12,ROW(B205)-ROW(B$12),0))</f>
        <v>1.17.0.0.2.</v>
      </c>
      <c r="C205" s="127" t="str">
        <f ca="1">IF(OFFSET(PO!N$12,ROW(C205)-ROW(C$12),0)=0,"",OFFSET(PO!N$12,ROW(C205)-ROW(C$12),0))</f>
        <v>VERGALHÃO ROSCA TOTAL DE 3/8"</v>
      </c>
      <c r="D205" s="129" t="str">
        <f ca="1">IF(OFFSET(PO!O$12,ROW(D205)-ROW(D$12),0)=0,"",OFFSET(PO!O$12,ROW(D205)-ROW(D$12),0))</f>
        <v>M</v>
      </c>
      <c r="E205" s="165">
        <f ca="1">IF($A205&lt;&gt;"Serviço",0,ROUND(SUMIF($F$9:$P$9,"&lt;&gt;",$F205:$P205),15-13*PO!$X$3))</f>
        <v>26</v>
      </c>
      <c r="F205" s="400">
        <f ca="1">OFFSET(PO!$P$12,ROW($E205)-ROW(F$12),0)</f>
        <v>26</v>
      </c>
      <c r="G205" s="400"/>
      <c r="H205" s="400"/>
      <c r="I205" s="400"/>
      <c r="J205" s="400"/>
      <c r="K205" s="400"/>
      <c r="L205" s="400"/>
      <c r="M205" s="400"/>
      <c r="N205" s="400"/>
      <c r="O205" s="400"/>
      <c r="U205" s="215"/>
    </row>
    <row r="206" spans="1:21" s="4" customFormat="1" ht="25.5" x14ac:dyDescent="0.2">
      <c r="A206" s="128" t="str">
        <f ca="1">OFFSET(PO!J$12,ROW(A206)-ROW($A$12),0)</f>
        <v>Serviço</v>
      </c>
      <c r="B206" s="130" t="str">
        <f ca="1">IF($A206=0,"",OFFSET(PO!K$12,ROW(B206)-ROW(B$12),0))</f>
        <v>1.17.0.0.3.</v>
      </c>
      <c r="C206" s="127" t="str">
        <f ca="1">IF(OFFSET(PO!N$12,ROW(C206)-ROW(C$12),0)=0,"",OFFSET(PO!N$12,ROW(C206)-ROW(C$12),0))</f>
        <v>SUPORTE ISOLADOR PARA CORDOALHA DE COBRE - FORNECIMENTO E INSTALAÇÃO.AF_12/2017</v>
      </c>
      <c r="D206" s="129" t="str">
        <f ca="1">IF(OFFSET(PO!O$12,ROW(D206)-ROW(D$12),0)=0,"",OFFSET(PO!O$12,ROW(D206)-ROW(D$12),0))</f>
        <v>UN</v>
      </c>
      <c r="E206" s="165">
        <f ca="1">IF($A206&lt;&gt;"Serviço",0,ROUND(SUMIF($F$9:$P$9,"&lt;&gt;",$F206:$P206),15-13*PO!$X$3))</f>
        <v>26</v>
      </c>
      <c r="F206" s="400">
        <f ca="1">OFFSET(PO!$P$12,ROW($E206)-ROW(F$12),0)</f>
        <v>26</v>
      </c>
      <c r="G206" s="400"/>
      <c r="H206" s="400"/>
      <c r="I206" s="400"/>
      <c r="J206" s="400"/>
      <c r="K206" s="400"/>
      <c r="L206" s="400"/>
      <c r="M206" s="400"/>
      <c r="N206" s="400"/>
      <c r="O206" s="400"/>
      <c r="U206" s="215"/>
    </row>
    <row r="207" spans="1:21" s="4" customFormat="1" x14ac:dyDescent="0.2">
      <c r="A207" s="128" t="str">
        <f ca="1">OFFSET(PO!J$12,ROW(A207)-ROW($A$12),0)</f>
        <v>Serviço</v>
      </c>
      <c r="B207" s="130" t="str">
        <f ca="1">IF($A207=0,"",OFFSET(PO!K$12,ROW(B207)-ROW(B$12),0))</f>
        <v>1.17.0.0.4.</v>
      </c>
      <c r="C207" s="127" t="str">
        <f ca="1">IF(OFFSET(PO!N$12,ROW(C207)-ROW(C$12),0)=0,"",OFFSET(PO!N$12,ROW(C207)-ROW(C$12),0))</f>
        <v xml:space="preserve">Hastes terra Copperweld 3/4"x 2,40m para aterramento </v>
      </c>
      <c r="D207" s="129" t="str">
        <f ca="1">IF(OFFSET(PO!O$12,ROW(D207)-ROW(D$12),0)=0,"",OFFSET(PO!O$12,ROW(D207)-ROW(D$12),0))</f>
        <v>UN</v>
      </c>
      <c r="E207" s="165">
        <f ca="1">IF($A207&lt;&gt;"Serviço",0,ROUND(SUMIF($F$9:$P$9,"&lt;&gt;",$F207:$P207),15-13*PO!$X$3))</f>
        <v>26</v>
      </c>
      <c r="F207" s="400">
        <f ca="1">OFFSET(PO!$P$12,ROW($E207)-ROW(F$12),0)</f>
        <v>26</v>
      </c>
      <c r="G207" s="400"/>
      <c r="H207" s="400"/>
      <c r="I207" s="400"/>
      <c r="J207" s="400"/>
      <c r="K207" s="400"/>
      <c r="L207" s="400"/>
      <c r="M207" s="400"/>
      <c r="N207" s="400"/>
      <c r="O207" s="400"/>
      <c r="U207" s="215"/>
    </row>
    <row r="208" spans="1:21" s="4" customFormat="1" ht="25.5" x14ac:dyDescent="0.2">
      <c r="A208" s="128" t="str">
        <f ca="1">OFFSET(PO!J$12,ROW(A208)-ROW($A$12),0)</f>
        <v>Serviço</v>
      </c>
      <c r="B208" s="130" t="str">
        <f ca="1">IF($A208=0,"",OFFSET(PO!K$12,ROW(B208)-ROW(B$12),0))</f>
        <v>1.17.0.0.5.</v>
      </c>
      <c r="C208" s="127" t="str">
        <f ca="1">IF(OFFSET(PO!N$12,ROW(C208)-ROW(C$12),0)=0,"",OFFSET(PO!N$12,ROW(C208)-ROW(C$12),0))</f>
        <v>CORDOALHA DE COBRE NU 35 MM², NÃO ENTERRADA, COM ISOLADOR - FORNECIMENTO E INSTALAÇÃO. AF_12/2017</v>
      </c>
      <c r="D208" s="129" t="str">
        <f ca="1">IF(OFFSET(PO!O$12,ROW(D208)-ROW(D$12),0)=0,"",OFFSET(PO!O$12,ROW(D208)-ROW(D$12),0))</f>
        <v>M</v>
      </c>
      <c r="E208" s="165">
        <f ca="1">IF($A208&lt;&gt;"Serviço",0,ROUND(SUMIF($F$9:$P$9,"&lt;&gt;",$F208:$P208),15-13*PO!$X$3))</f>
        <v>449.2</v>
      </c>
      <c r="F208" s="400">
        <f ca="1">OFFSET(PO!$P$12,ROW($E208)-ROW(F$12),0)</f>
        <v>449.2</v>
      </c>
      <c r="G208" s="400"/>
      <c r="H208" s="400"/>
      <c r="I208" s="400"/>
      <c r="J208" s="400"/>
      <c r="K208" s="400"/>
      <c r="L208" s="400"/>
      <c r="M208" s="400"/>
      <c r="N208" s="400"/>
      <c r="O208" s="400"/>
      <c r="U208" s="215"/>
    </row>
    <row r="209" spans="1:21" s="4" customFormat="1" ht="25.5" x14ac:dyDescent="0.2">
      <c r="A209" s="128" t="str">
        <f ca="1">OFFSET(PO!J$12,ROW(A209)-ROW($A$12),0)</f>
        <v>Serviço</v>
      </c>
      <c r="B209" s="130" t="str">
        <f ca="1">IF($A209=0,"",OFFSET(PO!K$12,ROW(B209)-ROW(B$12),0))</f>
        <v>1.17.0.0.6.</v>
      </c>
      <c r="C209" s="127" t="str">
        <f ca="1">IF(OFFSET(PO!N$12,ROW(C209)-ROW(C$12),0)=0,"",OFFSET(PO!N$12,ROW(C209)-ROW(C$12),0))</f>
        <v>CORDOALHA DE COBRE NU 50 MM², NÃO ENTERRADA, COM ISOLADOR - FORNECIMENTO E INSTALAÇÃO. AF_12/2017</v>
      </c>
      <c r="D209" s="129" t="str">
        <f ca="1">IF(OFFSET(PO!O$12,ROW(D209)-ROW(D$12),0)=0,"",OFFSET(PO!O$12,ROW(D209)-ROW(D$12),0))</f>
        <v>M</v>
      </c>
      <c r="E209" s="165">
        <f ca="1">IF($A209&lt;&gt;"Serviço",0,ROUND(SUMIF($F$9:$P$9,"&lt;&gt;",$F209:$P209),15-13*PO!$X$3))</f>
        <v>305.2</v>
      </c>
      <c r="F209" s="400">
        <f ca="1">OFFSET(PO!$P$12,ROW($E209)-ROW(F$12),0)</f>
        <v>305.2</v>
      </c>
      <c r="G209" s="400"/>
      <c r="H209" s="400"/>
      <c r="I209" s="400"/>
      <c r="J209" s="400"/>
      <c r="K209" s="400"/>
      <c r="L209" s="400"/>
      <c r="M209" s="400"/>
      <c r="N209" s="400"/>
      <c r="O209" s="400"/>
      <c r="U209" s="215"/>
    </row>
    <row r="210" spans="1:21" s="4" customFormat="1" ht="25.5" x14ac:dyDescent="0.2">
      <c r="A210" s="128" t="str">
        <f ca="1">OFFSET(PO!J$12,ROW(A210)-ROW($A$12),0)</f>
        <v>Serviço</v>
      </c>
      <c r="B210" s="130" t="str">
        <f ca="1">IF($A210=0,"",OFFSET(PO!K$12,ROW(B210)-ROW(B$12),0))</f>
        <v>1.17.0.0.7.</v>
      </c>
      <c r="C210" s="127" t="str">
        <f ca="1">IF(OFFSET(PO!N$12,ROW(C210)-ROW(C$12),0)=0,"",OFFSET(PO!N$12,ROW(C210)-ROW(C$12),0))</f>
        <v>CAIXA DE INSPEÇÃO PARA ATERRAMENTO, CIRCULAR, EM POLIETILENO, DIÂMETRO INTERNO = 0,3 M. AF_12/2020</v>
      </c>
      <c r="D210" s="129" t="str">
        <f ca="1">IF(OFFSET(PO!O$12,ROW(D210)-ROW(D$12),0)=0,"",OFFSET(PO!O$12,ROW(D210)-ROW(D$12),0))</f>
        <v>UN</v>
      </c>
      <c r="E210" s="165">
        <f ca="1">IF($A210&lt;&gt;"Serviço",0,ROUND(SUMIF($F$9:$P$9,"&lt;&gt;",$F210:$P210),15-13*PO!$X$3))</f>
        <v>5</v>
      </c>
      <c r="F210" s="400">
        <f ca="1">OFFSET(PO!$P$12,ROW($E210)-ROW(F$12),0)</f>
        <v>5</v>
      </c>
      <c r="G210" s="400"/>
      <c r="H210" s="400"/>
      <c r="I210" s="400"/>
      <c r="J210" s="400"/>
      <c r="K210" s="400"/>
      <c r="L210" s="400"/>
      <c r="M210" s="400"/>
      <c r="N210" s="400"/>
      <c r="O210" s="400"/>
      <c r="U210" s="215"/>
    </row>
    <row r="211" spans="1:21" s="4" customFormat="1" x14ac:dyDescent="0.2">
      <c r="A211" s="128" t="str">
        <f ca="1">OFFSET(PO!J$12,ROW(A211)-ROW($A$12),0)</f>
        <v>Serviço</v>
      </c>
      <c r="B211" s="130" t="str">
        <f ca="1">IF($A211=0,"",OFFSET(PO!K$12,ROW(B211)-ROW(B$12),0))</f>
        <v>1.17.0.0.8.</v>
      </c>
      <c r="C211" s="127" t="str">
        <f ca="1">IF(OFFSET(PO!N$12,ROW(C211)-ROW(C$12),0)=0,"",OFFSET(PO!N$12,ROW(C211)-ROW(C$12),0))</f>
        <v>TERMINAL DE PRESSÃO P/ CABOS ATÉ 35MM2</v>
      </c>
      <c r="D211" s="129" t="str">
        <f ca="1">IF(OFFSET(PO!O$12,ROW(D211)-ROW(D$12),0)=0,"",OFFSET(PO!O$12,ROW(D211)-ROW(D$12),0))</f>
        <v>UN</v>
      </c>
      <c r="E211" s="165">
        <f ca="1">IF($A211&lt;&gt;"Serviço",0,ROUND(SUMIF($F$9:$P$9,"&lt;&gt;",$F211:$P211),15-13*PO!$X$3))</f>
        <v>26</v>
      </c>
      <c r="F211" s="400">
        <f ca="1">OFFSET(PO!$P$12,ROW($E211)-ROW(F$12),0)</f>
        <v>26</v>
      </c>
      <c r="G211" s="400"/>
      <c r="H211" s="400"/>
      <c r="I211" s="400"/>
      <c r="J211" s="400"/>
      <c r="K211" s="400"/>
      <c r="L211" s="400"/>
      <c r="M211" s="400"/>
      <c r="N211" s="400"/>
      <c r="O211" s="400"/>
      <c r="U211" s="215"/>
    </row>
    <row r="212" spans="1:21" s="4" customFormat="1" x14ac:dyDescent="0.2">
      <c r="A212" s="128" t="str">
        <f ca="1">OFFSET(PO!J$12,ROW(A212)-ROW($A$12),0)</f>
        <v>Nível 2</v>
      </c>
      <c r="B212" s="130" t="str">
        <f ca="1">IF($A212=0,"",OFFSET(PO!K$12,ROW(B212)-ROW(B$12),0))</f>
        <v>1.18.</v>
      </c>
      <c r="C212" s="127" t="str">
        <f ca="1">IF(OFFSET(PO!N$12,ROW(C212)-ROW(C$12),0)=0,"",OFFSET(PO!N$12,ROW(C212)-ROW(C$12),0))</f>
        <v>SERVIÇOS COMPLEMENTARES</v>
      </c>
      <c r="D212" s="129" t="str">
        <f ca="1">IF(OFFSET(PO!O$12,ROW(D212)-ROW(D$12),0)=0,"",OFFSET(PO!O$12,ROW(D212)-ROW(D$12),0))</f>
        <v/>
      </c>
      <c r="E212" s="165">
        <f ca="1">IF($A212&lt;&gt;"Serviço",0,ROUND(SUMIF($F$9:$P$9,"&lt;&gt;",$F212:$P212),15-13*PO!$X$3))</f>
        <v>0</v>
      </c>
      <c r="F212" s="400">
        <f ca="1">OFFSET(PO!$P$12,ROW($E212)-ROW(F$12),0)</f>
        <v>0</v>
      </c>
      <c r="G212" s="400"/>
      <c r="H212" s="400"/>
      <c r="I212" s="400"/>
      <c r="J212" s="400"/>
      <c r="K212" s="400"/>
      <c r="L212" s="400"/>
      <c r="M212" s="400"/>
      <c r="N212" s="400"/>
      <c r="O212" s="400"/>
      <c r="U212" s="215"/>
    </row>
    <row r="213" spans="1:21" s="4" customFormat="1" x14ac:dyDescent="0.2">
      <c r="A213" s="128" t="str">
        <f ca="1">OFFSET(PO!J$12,ROW(A213)-ROW($A$12),0)</f>
        <v>Nível 3</v>
      </c>
      <c r="B213" s="130" t="str">
        <f ca="1">IF($A213=0,"",OFFSET(PO!K$12,ROW(B213)-ROW(B$12),0))</f>
        <v>1.18.1.</v>
      </c>
      <c r="C213" s="127" t="str">
        <f ca="1">IF(OFFSET(PO!N$12,ROW(C213)-ROW(C$12),0)=0,"",OFFSET(PO!N$12,ROW(C213)-ROW(C$12),0))</f>
        <v>GERAL</v>
      </c>
      <c r="D213" s="129" t="str">
        <f ca="1">IF(OFFSET(PO!O$12,ROW(D213)-ROW(D$12),0)=0,"",OFFSET(PO!O$12,ROW(D213)-ROW(D$12),0))</f>
        <v/>
      </c>
      <c r="E213" s="165">
        <f ca="1">IF($A213&lt;&gt;"Serviço",0,ROUND(SUMIF($F$9:$P$9,"&lt;&gt;",$F213:$P213),15-13*PO!$X$3))</f>
        <v>0</v>
      </c>
      <c r="F213" s="400">
        <f ca="1">OFFSET(PO!$P$12,ROW($E213)-ROW(F$12),0)</f>
        <v>0</v>
      </c>
      <c r="G213" s="400"/>
      <c r="H213" s="400"/>
      <c r="I213" s="400"/>
      <c r="J213" s="400"/>
      <c r="K213" s="400"/>
      <c r="L213" s="400"/>
      <c r="M213" s="400"/>
      <c r="N213" s="400"/>
      <c r="O213" s="400"/>
      <c r="U213" s="215"/>
    </row>
    <row r="214" spans="1:21" s="4" customFormat="1" x14ac:dyDescent="0.2">
      <c r="A214" s="128" t="str">
        <f ca="1">OFFSET(PO!J$12,ROW(A214)-ROW($A$12),0)</f>
        <v>Serviço</v>
      </c>
      <c r="B214" s="130" t="str">
        <f ca="1">IF($A214=0,"",OFFSET(PO!K$12,ROW(B214)-ROW(B$12),0))</f>
        <v>1.18.1.0.1.</v>
      </c>
      <c r="C214" s="127" t="str">
        <f ca="1">IF(OFFSET(PO!N$12,ROW(C214)-ROW(C$12),0)=0,"",OFFSET(PO!N$12,ROW(C214)-ROW(C$12),0))</f>
        <v>Bancada de granito e = 3cm apoiada em alvenaria</v>
      </c>
      <c r="D214" s="129" t="str">
        <f ca="1">IF(OFFSET(PO!O$12,ROW(D214)-ROW(D$12),0)=0,"",OFFSET(PO!O$12,ROW(D214)-ROW(D$12),0))</f>
        <v>M²</v>
      </c>
      <c r="E214" s="165">
        <f ca="1">IF($A214&lt;&gt;"Serviço",0,ROUND(SUMIF($F$9:$P$9,"&lt;&gt;",$F214:$P214),15-13*PO!$X$3))</f>
        <v>12.22</v>
      </c>
      <c r="F214" s="400">
        <f ca="1">OFFSET(PO!$P$12,ROW($E214)-ROW(F$12),0)</f>
        <v>12.22</v>
      </c>
      <c r="G214" s="400"/>
      <c r="H214" s="400"/>
      <c r="I214" s="400"/>
      <c r="J214" s="400"/>
      <c r="K214" s="400"/>
      <c r="L214" s="400"/>
      <c r="M214" s="400"/>
      <c r="N214" s="400"/>
      <c r="O214" s="400"/>
      <c r="U214" s="215"/>
    </row>
    <row r="215" spans="1:21" s="4" customFormat="1" ht="25.5" x14ac:dyDescent="0.2">
      <c r="A215" s="128" t="str">
        <f ca="1">OFFSET(PO!J$12,ROW(A215)-ROW($A$12),0)</f>
        <v>Serviço</v>
      </c>
      <c r="B215" s="130" t="str">
        <f ca="1">IF($A215=0,"",OFFSET(PO!K$12,ROW(B215)-ROW(B$12),0))</f>
        <v>1.18.1.0.2.</v>
      </c>
      <c r="C215" s="127" t="str">
        <f ca="1">IF(OFFSET(PO!N$12,ROW(C215)-ROW(C$12),0)=0,"",OFFSET(PO!N$12,ROW(C215)-ROW(C$12),0))</f>
        <v>Prateleira de granito cinza andorinha, e = 2 cm, apoiada sobre alvenaria</v>
      </c>
      <c r="D215" s="129" t="str">
        <f ca="1">IF(OFFSET(PO!O$12,ROW(D215)-ROW(D$12),0)=0,"",OFFSET(PO!O$12,ROW(D215)-ROW(D$12),0))</f>
        <v>M²</v>
      </c>
      <c r="E215" s="165">
        <f ca="1">IF($A215&lt;&gt;"Serviço",0,ROUND(SUMIF($F$9:$P$9,"&lt;&gt;",$F215:$P215),15-13*PO!$X$3))</f>
        <v>3.5</v>
      </c>
      <c r="F215" s="400">
        <f ca="1">OFFSET(PO!$P$12,ROW($E215)-ROW(F$12),0)</f>
        <v>3.5</v>
      </c>
      <c r="G215" s="400"/>
      <c r="H215" s="400"/>
      <c r="I215" s="400"/>
      <c r="J215" s="400"/>
      <c r="K215" s="400"/>
      <c r="L215" s="400"/>
      <c r="M215" s="400"/>
      <c r="N215" s="400"/>
      <c r="O215" s="400"/>
      <c r="U215" s="215"/>
    </row>
    <row r="216" spans="1:21" s="4" customFormat="1" x14ac:dyDescent="0.2">
      <c r="A216" s="128" t="str">
        <f ca="1">OFFSET(PO!J$12,ROW(A216)-ROW($A$12),0)</f>
        <v>Serviço</v>
      </c>
      <c r="B216" s="130" t="str">
        <f ca="1">IF($A216=0,"",OFFSET(PO!K$12,ROW(B216)-ROW(B$12),0))</f>
        <v>1.18.1.0.3.</v>
      </c>
      <c r="C216" s="127" t="str">
        <f ca="1">IF(OFFSET(PO!N$12,ROW(C216)-ROW(C$12),0)=0,"",OFFSET(PO!N$12,ROW(C216)-ROW(C$12),0))</f>
        <v>Soleira ou peitoril de granito cinza andorinha e=2cm</v>
      </c>
      <c r="D216" s="129" t="str">
        <f ca="1">IF(OFFSET(PO!O$12,ROW(D216)-ROW(D$12),0)=0,"",OFFSET(PO!O$12,ROW(D216)-ROW(D$12),0))</f>
        <v>M²</v>
      </c>
      <c r="E216" s="165">
        <f ca="1">IF($A216&lt;&gt;"Serviço",0,ROUND(SUMIF($F$9:$P$9,"&lt;&gt;",$F216:$P216),15-13*PO!$X$3))</f>
        <v>12.12</v>
      </c>
      <c r="F216" s="400">
        <f ca="1">OFFSET(PO!$P$12,ROW($E216)-ROW(F$12),0)</f>
        <v>12.12</v>
      </c>
      <c r="G216" s="400"/>
      <c r="H216" s="400"/>
      <c r="I216" s="400"/>
      <c r="J216" s="400"/>
      <c r="K216" s="400"/>
      <c r="L216" s="400"/>
      <c r="M216" s="400"/>
      <c r="N216" s="400"/>
      <c r="O216" s="400"/>
      <c r="U216" s="215"/>
    </row>
    <row r="217" spans="1:21" s="4" customFormat="1" x14ac:dyDescent="0.2">
      <c r="A217" s="128" t="str">
        <f ca="1">OFFSET(PO!J$12,ROW(A217)-ROW($A$12),0)</f>
        <v>Serviço</v>
      </c>
      <c r="B217" s="130" t="str">
        <f ca="1">IF($A217=0,"",OFFSET(PO!K$12,ROW(B217)-ROW(B$12),0))</f>
        <v>1.18.1.0.4.</v>
      </c>
      <c r="C217" s="127" t="str">
        <f ca="1">IF(OFFSET(PO!N$12,ROW(C217)-ROW(C$12),0)=0,"",OFFSET(PO!N$12,ROW(C217)-ROW(C$12),0))</f>
        <v>PORTA COMPENSADO P/ARMÁRIO SOB PIA</v>
      </c>
      <c r="D217" s="129" t="str">
        <f ca="1">IF(OFFSET(PO!O$12,ROW(D217)-ROW(D$12),0)=0,"",OFFSET(PO!O$12,ROW(D217)-ROW(D$12),0))</f>
        <v>M²</v>
      </c>
      <c r="E217" s="165">
        <f ca="1">IF($A217&lt;&gt;"Serviço",0,ROUND(SUMIF($F$9:$P$9,"&lt;&gt;",$F217:$P217),15-13*PO!$X$3))</f>
        <v>6.55</v>
      </c>
      <c r="F217" s="400">
        <f ca="1">OFFSET(PO!$P$12,ROW($E217)-ROW(F$12),0)</f>
        <v>6.55</v>
      </c>
      <c r="G217" s="400"/>
      <c r="H217" s="400"/>
      <c r="I217" s="400"/>
      <c r="J217" s="400"/>
      <c r="K217" s="400"/>
      <c r="L217" s="400"/>
      <c r="M217" s="400"/>
      <c r="N217" s="400"/>
      <c r="O217" s="400"/>
      <c r="U217" s="215"/>
    </row>
    <row r="218" spans="1:21" s="4" customFormat="1" x14ac:dyDescent="0.2">
      <c r="A218" s="128" t="str">
        <f ca="1">OFFSET(PO!J$12,ROW(A218)-ROW($A$12),0)</f>
        <v>Serviço</v>
      </c>
      <c r="B218" s="130" t="str">
        <f ca="1">IF($A218=0,"",OFFSET(PO!K$12,ROW(B218)-ROW(B$12),0))</f>
        <v>1.18.1.0.5.</v>
      </c>
      <c r="C218" s="127" t="str">
        <f ca="1">IF(OFFSET(PO!N$12,ROW(C218)-ROW(C$12),0)=0,"",OFFSET(PO!N$12,ROW(C218)-ROW(C$12),0))</f>
        <v>PRATELEIRA DE MADEIRA DE LEI PLAINADA</v>
      </c>
      <c r="D218" s="129" t="str">
        <f ca="1">IF(OFFSET(PO!O$12,ROW(D218)-ROW(D$12),0)=0,"",OFFSET(PO!O$12,ROW(D218)-ROW(D$12),0))</f>
        <v>M2</v>
      </c>
      <c r="E218" s="165">
        <f ca="1">IF($A218&lt;&gt;"Serviço",0,ROUND(SUMIF($F$9:$P$9,"&lt;&gt;",$F218:$P218),15-13*PO!$X$3))</f>
        <v>1.9</v>
      </c>
      <c r="F218" s="400">
        <f ca="1">OFFSET(PO!$P$12,ROW($E218)-ROW(F$12),0)</f>
        <v>1.9</v>
      </c>
      <c r="G218" s="400"/>
      <c r="H218" s="400"/>
      <c r="I218" s="400"/>
      <c r="J218" s="400"/>
      <c r="K218" s="400"/>
      <c r="L218" s="400"/>
      <c r="M218" s="400"/>
      <c r="N218" s="400"/>
      <c r="O218" s="400"/>
      <c r="U218" s="215"/>
    </row>
    <row r="219" spans="1:21" s="4" customFormat="1" x14ac:dyDescent="0.2">
      <c r="A219" s="128" t="str">
        <f ca="1">OFFSET(PO!J$12,ROW(A219)-ROW($A$12),0)</f>
        <v>Nível 3</v>
      </c>
      <c r="B219" s="130" t="str">
        <f ca="1">IF($A219=0,"",OFFSET(PO!K$12,ROW(B219)-ROW(B$12),0))</f>
        <v>1.18.2.</v>
      </c>
      <c r="C219" s="127" t="str">
        <f ca="1">IF(OFFSET(PO!N$12,ROW(C219)-ROW(C$12),0)=0,"",OFFSET(PO!N$12,ROW(C219)-ROW(C$12),0))</f>
        <v>ESQUADRIA, PORTÃO E GRADIL METÁLICO</v>
      </c>
      <c r="D219" s="129" t="str">
        <f ca="1">IF(OFFSET(PO!O$12,ROW(D219)-ROW(D$12),0)=0,"",OFFSET(PO!O$12,ROW(D219)-ROW(D$12),0))</f>
        <v/>
      </c>
      <c r="E219" s="165">
        <f ca="1">IF($A219&lt;&gt;"Serviço",0,ROUND(SUMIF($F$9:$P$9,"&lt;&gt;",$F219:$P219),15-13*PO!$X$3))</f>
        <v>0</v>
      </c>
      <c r="F219" s="400">
        <f ca="1">OFFSET(PO!$P$12,ROW($E219)-ROW(F$12),0)</f>
        <v>0</v>
      </c>
      <c r="G219" s="400"/>
      <c r="H219" s="400"/>
      <c r="I219" s="400"/>
      <c r="J219" s="400"/>
      <c r="K219" s="400"/>
      <c r="L219" s="400"/>
      <c r="M219" s="400"/>
      <c r="N219" s="400"/>
      <c r="O219" s="400"/>
      <c r="U219" s="215"/>
    </row>
    <row r="220" spans="1:21" s="4" customFormat="1" x14ac:dyDescent="0.2">
      <c r="A220" s="128" t="str">
        <f ca="1">OFFSET(PO!J$12,ROW(A220)-ROW($A$12),0)</f>
        <v>Serviço</v>
      </c>
      <c r="B220" s="130" t="str">
        <f ca="1">IF($A220=0,"",OFFSET(PO!K$12,ROW(B220)-ROW(B$12),0))</f>
        <v>1.18.2.0.1.</v>
      </c>
      <c r="C220" s="127" t="str">
        <f ca="1">IF(OFFSET(PO!N$12,ROW(C220)-ROW(C$12),0)=0,"",OFFSET(PO!N$12,ROW(C220)-ROW(C$12),0))</f>
        <v>CONJUNTO DE MASTRO P/ TRÊS BANDEIRAS E PEDESTAL</v>
      </c>
      <c r="D220" s="129" t="str">
        <f ca="1">IF(OFFSET(PO!O$12,ROW(D220)-ROW(D$12),0)=0,"",OFFSET(PO!O$12,ROW(D220)-ROW(D$12),0))</f>
        <v>UN</v>
      </c>
      <c r="E220" s="165">
        <f ca="1">IF($A220&lt;&gt;"Serviço",0,ROUND(SUMIF($F$9:$P$9,"&lt;&gt;",$F220:$P220),15-13*PO!$X$3))</f>
        <v>1</v>
      </c>
      <c r="F220" s="400">
        <f ca="1">OFFSET(PO!$P$12,ROW($E220)-ROW(F$12),0)</f>
        <v>1</v>
      </c>
      <c r="G220" s="400"/>
      <c r="H220" s="400"/>
      <c r="I220" s="400"/>
      <c r="J220" s="400"/>
      <c r="K220" s="400"/>
      <c r="L220" s="400"/>
      <c r="M220" s="400"/>
      <c r="N220" s="400"/>
      <c r="O220" s="400"/>
      <c r="U220" s="215"/>
    </row>
    <row r="221" spans="1:21" s="4" customFormat="1" ht="25.5" x14ac:dyDescent="0.2">
      <c r="A221" s="128" t="str">
        <f ca="1">OFFSET(PO!J$12,ROW(A221)-ROW($A$12),0)</f>
        <v>Serviço</v>
      </c>
      <c r="B221" s="130" t="str">
        <f ca="1">IF($A221=0,"",OFFSET(PO!K$12,ROW(B221)-ROW(B$12),0))</f>
        <v>1.18.2.0.2.</v>
      </c>
      <c r="C221" s="127" t="str">
        <f ca="1">IF(OFFSET(PO!N$12,ROW(C221)-ROW(C$12),0)=0,"",OFFSET(PO!N$12,ROW(C221)-ROW(C$12),0))</f>
        <v>Corrimão simples em tubo de aço galvanizado d = 1 1/2" - fixado em piso</v>
      </c>
      <c r="D221" s="129" t="str">
        <f ca="1">IF(OFFSET(PO!O$12,ROW(D221)-ROW(D$12),0)=0,"",OFFSET(PO!O$12,ROW(D221)-ROW(D$12),0))</f>
        <v>M</v>
      </c>
      <c r="E221" s="165">
        <f ca="1">IF($A221&lt;&gt;"Serviço",0,ROUND(SUMIF($F$9:$P$9,"&lt;&gt;",$F221:$P221),15-13*PO!$X$3))</f>
        <v>14</v>
      </c>
      <c r="F221" s="400">
        <f ca="1">OFFSET(PO!$P$12,ROW($E221)-ROW(F$12),0)</f>
        <v>14</v>
      </c>
      <c r="G221" s="400"/>
      <c r="H221" s="400"/>
      <c r="I221" s="400"/>
      <c r="J221" s="400"/>
      <c r="K221" s="400"/>
      <c r="L221" s="400"/>
      <c r="M221" s="400"/>
      <c r="N221" s="400"/>
      <c r="O221" s="400"/>
      <c r="U221" s="215"/>
    </row>
    <row r="222" spans="1:21" s="4" customFormat="1" x14ac:dyDescent="0.2">
      <c r="A222" s="128" t="str">
        <f ca="1">OFFSET(PO!J$12,ROW(A222)-ROW($A$12),0)</f>
        <v>Serviço</v>
      </c>
      <c r="B222" s="130" t="str">
        <f ca="1">IF($A222=0,"",OFFSET(PO!K$12,ROW(B222)-ROW(B$12),0))</f>
        <v>1.18.2.0.3.</v>
      </c>
      <c r="C222" s="127" t="str">
        <f ca="1">IF(OFFSET(PO!N$12,ROW(C222)-ROW(C$12),0)=0,"",OFFSET(PO!N$12,ROW(C222)-ROW(C$12),0))</f>
        <v>Grama esmeralda em placas</v>
      </c>
      <c r="D222" s="129" t="str">
        <f ca="1">IF(OFFSET(PO!O$12,ROW(D222)-ROW(D$12),0)=0,"",OFFSET(PO!O$12,ROW(D222)-ROW(D$12),0))</f>
        <v>M2</v>
      </c>
      <c r="E222" s="165">
        <f ca="1">IF($A222&lt;&gt;"Serviço",0,ROUND(SUMIF($F$9:$P$9,"&lt;&gt;",$F222:$P222),15-13*PO!$X$3))</f>
        <v>82.5</v>
      </c>
      <c r="F222" s="400">
        <f ca="1">OFFSET(PO!$P$12,ROW($E222)-ROW(F$12),0)</f>
        <v>82.5</v>
      </c>
      <c r="G222" s="400"/>
      <c r="H222" s="400"/>
      <c r="I222" s="400"/>
      <c r="J222" s="400"/>
      <c r="K222" s="400"/>
      <c r="L222" s="400"/>
      <c r="M222" s="400"/>
      <c r="N222" s="400"/>
      <c r="O222" s="400"/>
      <c r="U222" s="215"/>
    </row>
    <row r="223" spans="1:21" s="4" customFormat="1" ht="38.25" x14ac:dyDescent="0.2">
      <c r="A223" s="128" t="str">
        <f ca="1">OFFSET(PO!J$12,ROW(A223)-ROW($A$12),0)</f>
        <v>Serviço</v>
      </c>
      <c r="B223" s="130" t="str">
        <f ca="1">IF($A223=0,"",OFFSET(PO!K$12,ROW(B223)-ROW(B$12),0))</f>
        <v>1.18.2.0.4.</v>
      </c>
      <c r="C223" s="127" t="str">
        <f ca="1">IF(OFFSET(PO!N$12,ROW(C223)-ROW(C$12),0)=0,"",OFFSET(PO!N$12,ROW(C223)-ROW(C$12),0))</f>
        <v>PORTA EM ALUMÍNIO DE ABRIR TIPO VENEZIANA COM GUARNIÇÃO, FIXAÇÃO COM PARAFUSOS - FORNECIMENTO E INSTALAÇÃO. AF_12/2019</v>
      </c>
      <c r="D223" s="129" t="str">
        <f ca="1">IF(OFFSET(PO!O$12,ROW(D223)-ROW(D$12),0)=0,"",OFFSET(PO!O$12,ROW(D223)-ROW(D$12),0))</f>
        <v>M²</v>
      </c>
      <c r="E223" s="165">
        <f ca="1">IF($A223&lt;&gt;"Serviço",0,ROUND(SUMIF($F$9:$P$9,"&lt;&gt;",$F223:$P223),15-13*PO!$X$3))</f>
        <v>5.27</v>
      </c>
      <c r="F223" s="400">
        <f ca="1">OFFSET(PO!$P$12,ROW($E223)-ROW(F$12),0)</f>
        <v>5.27</v>
      </c>
      <c r="G223" s="400"/>
      <c r="H223" s="400"/>
      <c r="I223" s="400"/>
      <c r="J223" s="400"/>
      <c r="K223" s="400"/>
      <c r="L223" s="400"/>
      <c r="M223" s="400"/>
      <c r="N223" s="400"/>
      <c r="O223" s="400"/>
      <c r="U223" s="215"/>
    </row>
    <row r="224" spans="1:21" s="4" customFormat="1" ht="38.25" x14ac:dyDescent="0.2">
      <c r="A224" s="128" t="str">
        <f ca="1">OFFSET(PO!J$12,ROW(A224)-ROW($A$12),0)</f>
        <v>Serviço</v>
      </c>
      <c r="B224" s="130" t="str">
        <f ca="1">IF($A224=0,"",OFFSET(PO!K$12,ROW(B224)-ROW(B$12),0))</f>
        <v>1.18.2.0.5.</v>
      </c>
      <c r="C224" s="127" t="str">
        <f ca="1">IF(OFFSET(PO!N$12,ROW(C224)-ROW(C$12),0)=0,"",OFFSET(PO!N$12,ROW(C224)-ROW(C$12),0))</f>
        <v>PORTÃO DE METALON E BARRA CHATA DE FERRO C/FECHADURA E DOBRADIÇA, INCLUS. PINTURA ESMALTE SINTÉTICO</v>
      </c>
      <c r="D224" s="129" t="str">
        <f ca="1">IF(OFFSET(PO!O$12,ROW(D224)-ROW(D$12),0)=0,"",OFFSET(PO!O$12,ROW(D224)-ROW(D$12),0))</f>
        <v>M2</v>
      </c>
      <c r="E224" s="165">
        <f ca="1">IF($A224&lt;&gt;"Serviço",0,ROUND(SUMIF($F$9:$P$9,"&lt;&gt;",$F224:$P224),15-13*PO!$X$3))</f>
        <v>10.33</v>
      </c>
      <c r="F224" s="400">
        <f ca="1">OFFSET(PO!$P$12,ROW($E224)-ROW(F$12),0)</f>
        <v>10.33</v>
      </c>
      <c r="G224" s="400"/>
      <c r="H224" s="400"/>
      <c r="I224" s="400"/>
      <c r="J224" s="400"/>
      <c r="K224" s="400"/>
      <c r="L224" s="400"/>
      <c r="M224" s="400"/>
      <c r="N224" s="400"/>
      <c r="O224" s="400"/>
      <c r="U224" s="215"/>
    </row>
    <row r="225" spans="1:21" s="4" customFormat="1" x14ac:dyDescent="0.2">
      <c r="A225" s="128" t="str">
        <f ca="1">OFFSET(PO!J$12,ROW(A225)-ROW($A$12),0)</f>
        <v>Nível 2</v>
      </c>
      <c r="B225" s="130" t="str">
        <f ca="1">IF($A225=0,"",OFFSET(PO!K$12,ROW(B225)-ROW(B$12),0))</f>
        <v>1.19.</v>
      </c>
      <c r="C225" s="127" t="str">
        <f ca="1">IF(OFFSET(PO!N$12,ROW(C225)-ROW(C$12),0)=0,"",OFFSET(PO!N$12,ROW(C225)-ROW(C$12),0))</f>
        <v>SERVIÇOS FINAIS</v>
      </c>
      <c r="D225" s="129" t="str">
        <f ca="1">IF(OFFSET(PO!O$12,ROW(D225)-ROW(D$12),0)=0,"",OFFSET(PO!O$12,ROW(D225)-ROW(D$12),0))</f>
        <v/>
      </c>
      <c r="E225" s="165">
        <f ca="1">IF($A225&lt;&gt;"Serviço",0,ROUND(SUMIF($F$9:$P$9,"&lt;&gt;",$F225:$P225),15-13*PO!$X$3))</f>
        <v>0</v>
      </c>
      <c r="F225" s="400">
        <f ca="1">OFFSET(PO!$P$12,ROW($E225)-ROW(F$12),0)</f>
        <v>0</v>
      </c>
      <c r="G225" s="400"/>
      <c r="H225" s="400"/>
      <c r="I225" s="400"/>
      <c r="J225" s="400"/>
      <c r="K225" s="400"/>
      <c r="L225" s="400"/>
      <c r="M225" s="400"/>
      <c r="N225" s="400"/>
      <c r="O225" s="400"/>
      <c r="U225" s="215"/>
    </row>
    <row r="226" spans="1:21" s="4" customFormat="1" x14ac:dyDescent="0.2">
      <c r="A226" s="128" t="str">
        <f ca="1">OFFSET(PO!J$12,ROW(A226)-ROW($A$12),0)</f>
        <v>Serviço</v>
      </c>
      <c r="B226" s="130" t="str">
        <f ca="1">IF($A226=0,"",OFFSET(PO!K$12,ROW(B226)-ROW(B$12),0))</f>
        <v>1.19.0.0.1.</v>
      </c>
      <c r="C226" s="127" t="str">
        <f ca="1">IF(OFFSET(PO!N$12,ROW(C226)-ROW(C$12),0)=0,"",OFFSET(PO!N$12,ROW(C226)-ROW(C$12),0))</f>
        <v>Limpeza Geral da edificação</v>
      </c>
      <c r="D226" s="129" t="str">
        <f ca="1">IF(OFFSET(PO!O$12,ROW(D226)-ROW(D$12),0)=0,"",OFFSET(PO!O$12,ROW(D226)-ROW(D$12),0))</f>
        <v>M²</v>
      </c>
      <c r="E226" s="165">
        <f ca="1">IF($A226&lt;&gt;"Serviço",0,ROUND(SUMIF($F$9:$P$9,"&lt;&gt;",$F226:$P226),15-13*PO!$X$3))</f>
        <v>1129.6400000000001</v>
      </c>
      <c r="F226" s="400">
        <f ca="1">OFFSET(PO!$P$12,ROW($E226)-ROW(F$12),0)</f>
        <v>1129.6400000000001</v>
      </c>
      <c r="G226" s="400"/>
      <c r="H226" s="400"/>
      <c r="I226" s="400"/>
      <c r="J226" s="400"/>
      <c r="K226" s="400"/>
      <c r="L226" s="400"/>
      <c r="M226" s="400"/>
      <c r="N226" s="400"/>
      <c r="O226" s="400"/>
      <c r="U226" s="215"/>
    </row>
    <row r="227" spans="1:21" s="4" customFormat="1" x14ac:dyDescent="0.2">
      <c r="A227" s="83"/>
      <c r="B227" s="83"/>
      <c r="C227" s="83"/>
      <c r="D227" s="83"/>
      <c r="E227" s="83"/>
      <c r="F227" s="83"/>
      <c r="G227" s="83"/>
      <c r="H227" s="83"/>
      <c r="I227" s="83"/>
      <c r="J227" s="83"/>
      <c r="K227" s="83"/>
      <c r="L227" s="83"/>
      <c r="M227" s="83"/>
      <c r="N227" s="83"/>
      <c r="O227" s="83"/>
      <c r="U227" s="83"/>
    </row>
    <row r="228" spans="1:21" s="4" customFormat="1" x14ac:dyDescent="0.2">
      <c r="B228" s="9"/>
      <c r="C228" s="14"/>
      <c r="D228" s="9"/>
      <c r="E228" s="16"/>
      <c r="F228" s="16"/>
      <c r="G228" s="16"/>
      <c r="H228" s="16"/>
      <c r="I228" s="16"/>
      <c r="J228" s="16"/>
      <c r="K228" s="16"/>
      <c r="L228" s="16"/>
      <c r="M228" s="16"/>
      <c r="N228" s="16"/>
      <c r="O228" s="16"/>
      <c r="U228" s="16"/>
    </row>
    <row r="229" spans="1:21" s="4" customFormat="1" x14ac:dyDescent="0.2">
      <c r="B229" s="371" t="str">
        <f>PO!$K$238</f>
        <v>Presidente Olegário / MG</v>
      </c>
      <c r="C229" s="371"/>
      <c r="D229" s="9"/>
      <c r="E229" s="16"/>
      <c r="F229" s="16"/>
      <c r="G229" s="16"/>
      <c r="H229" s="16"/>
      <c r="I229" s="16"/>
      <c r="J229" s="16"/>
      <c r="K229" s="16"/>
      <c r="L229" s="16"/>
      <c r="M229" s="16"/>
      <c r="N229" s="16"/>
      <c r="O229" s="16"/>
      <c r="U229" s="16"/>
    </row>
    <row r="230" spans="1:21" s="4" customFormat="1" x14ac:dyDescent="0.2">
      <c r="B230" s="113" t="s">
        <v>120</v>
      </c>
      <c r="C230" s="14"/>
      <c r="D230" s="9"/>
      <c r="E230" s="16"/>
      <c r="F230" s="16"/>
      <c r="G230" s="16"/>
      <c r="H230" s="16"/>
      <c r="I230" s="16"/>
      <c r="J230" s="16"/>
      <c r="K230" s="16"/>
      <c r="L230" s="16"/>
      <c r="M230" s="16"/>
      <c r="N230" s="16"/>
      <c r="O230" s="16"/>
      <c r="U230" s="16"/>
    </row>
    <row r="231" spans="1:21" s="4" customFormat="1" x14ac:dyDescent="0.2">
      <c r="B231" s="14"/>
      <c r="C231" s="14"/>
      <c r="D231" s="9"/>
      <c r="E231" s="16"/>
      <c r="F231" s="16"/>
      <c r="G231" s="16"/>
      <c r="H231" s="16"/>
      <c r="I231" s="16"/>
      <c r="J231" s="16"/>
      <c r="K231" s="16"/>
      <c r="L231" s="16"/>
      <c r="M231" s="16"/>
      <c r="N231" s="16"/>
      <c r="O231" s="16"/>
      <c r="U231" s="16"/>
    </row>
    <row r="232" spans="1:21" s="4" customFormat="1" x14ac:dyDescent="0.2">
      <c r="B232" s="372">
        <f ca="1">PO!$K$241</f>
        <v>44770</v>
      </c>
      <c r="C232" s="372"/>
      <c r="D232" s="9"/>
      <c r="E232" s="16"/>
      <c r="F232" s="16"/>
      <c r="G232" s="16"/>
      <c r="H232" s="16"/>
      <c r="I232" s="16"/>
      <c r="J232" s="16"/>
      <c r="K232" s="16"/>
      <c r="L232" s="16"/>
      <c r="M232" s="16"/>
      <c r="N232" s="16"/>
      <c r="O232" s="16"/>
      <c r="U232" s="16"/>
    </row>
    <row r="233" spans="1:21" s="4" customFormat="1" x14ac:dyDescent="0.2">
      <c r="B233" s="142" t="s">
        <v>121</v>
      </c>
      <c r="C233" s="143"/>
      <c r="D233" s="9"/>
      <c r="E233" s="16"/>
      <c r="F233" s="16"/>
      <c r="G233" s="16"/>
      <c r="H233" s="16"/>
      <c r="I233" s="16"/>
      <c r="J233" s="16"/>
      <c r="K233" s="16"/>
      <c r="L233" s="16"/>
      <c r="M233" s="16"/>
      <c r="N233" s="16"/>
      <c r="O233" s="16"/>
      <c r="U233" s="16"/>
    </row>
  </sheetData>
  <sheetProtection algorithmName="SHA-512" hashValue="Up/Zq/yGJM+SgK+zxaiwMRmTTRsOtiOMOkNk3J1qIns+z5WPGwgSp/dcj1tU/DOw+OKJ6Aq9Mnu9JprI+IlM5Q==" saltValue="KO441GcIC08id23d7X5O2Q==" spinCount="100000" sheet="1" objects="1" scenarios="1"/>
  <mergeCells count="2">
    <mergeCell ref="B229:C229"/>
    <mergeCell ref="B232:C232"/>
  </mergeCells>
  <phoneticPr fontId="25" type="noConversion"/>
  <conditionalFormatting sqref="D11:E11 D13:E13 D46:E85 D87:E226">
    <cfRule type="expression" dxfId="161" priority="742" stopIfTrue="1">
      <formula>$A11="Meta"</formula>
    </cfRule>
    <cfRule type="expression" dxfId="160" priority="743" stopIfTrue="1">
      <formula>$A11&lt;&gt;"Serviço"</formula>
    </cfRule>
  </conditionalFormatting>
  <conditionalFormatting sqref="C11 C13 C46:C85 C87:C226">
    <cfRule type="expression" dxfId="159" priority="744" stopIfTrue="1">
      <formula>$A11="Meta"</formula>
    </cfRule>
    <cfRule type="expression" dxfId="158" priority="745" stopIfTrue="1">
      <formula>$A11&lt;&gt;"Serviço"</formula>
    </cfRule>
  </conditionalFormatting>
  <conditionalFormatting sqref="A11:B11 A13:B13 A46:B85 A87:B226">
    <cfRule type="expression" dxfId="157" priority="746" stopIfTrue="1">
      <formula>$A11="Meta"</formula>
    </cfRule>
    <cfRule type="expression" dxfId="156" priority="747" stopIfTrue="1">
      <formula>LEFT($A11,5)="Nível"</formula>
    </cfRule>
    <cfRule type="expression" dxfId="155" priority="748" stopIfTrue="1">
      <formula>$A11=0</formula>
    </cfRule>
  </conditionalFormatting>
  <conditionalFormatting sqref="U11 U13 F13:O13 U46:U85 F46:O85 F87:O226 U87:U226">
    <cfRule type="expression" dxfId="154" priority="758" stopIfTrue="1">
      <formula>$A11="Meta"</formula>
    </cfRule>
    <cfRule type="expression" dxfId="153" priority="759" stopIfTrue="1">
      <formula>OR(F$9=0,$A11&lt;&gt;"Serviço")</formula>
    </cfRule>
    <cfRule type="expression" dxfId="152" priority="760" stopIfTrue="1">
      <formula>TipoOrçamento="Licitado"</formula>
    </cfRule>
  </conditionalFormatting>
  <conditionalFormatting sqref="U9">
    <cfRule type="expression" dxfId="151" priority="180" stopIfTrue="1">
      <formula>AND(T9=0,U9=0)</formula>
    </cfRule>
    <cfRule type="expression" dxfId="150" priority="181" stopIfTrue="1">
      <formula>TipoOrçamento="Licitado"</formula>
    </cfRule>
  </conditionalFormatting>
  <conditionalFormatting sqref="F11:O11">
    <cfRule type="expression" dxfId="149" priority="140" stopIfTrue="1">
      <formula>$A11="Meta"</formula>
    </cfRule>
    <cfRule type="expression" dxfId="148" priority="141" stopIfTrue="1">
      <formula>OR(F$9=0,$A11&lt;&gt;"Serviço")</formula>
    </cfRule>
    <cfRule type="expression" dxfId="147" priority="142" stopIfTrue="1">
      <formula>TipoOrçamento="Licitado"</formula>
    </cfRule>
  </conditionalFormatting>
  <conditionalFormatting sqref="F9:O9">
    <cfRule type="expression" dxfId="146" priority="138" stopIfTrue="1">
      <formula>AND(E9=0,F9=0)</formula>
    </cfRule>
    <cfRule type="expression" dxfId="145" priority="139" stopIfTrue="1">
      <formula>TipoOrçamento="Licitado"</formula>
    </cfRule>
  </conditionalFormatting>
  <conditionalFormatting sqref="D17:E33">
    <cfRule type="expression" dxfId="144" priority="56" stopIfTrue="1">
      <formula>$A17="Meta"</formula>
    </cfRule>
    <cfRule type="expression" dxfId="143" priority="57" stopIfTrue="1">
      <formula>$A17&lt;&gt;"Serviço"</formula>
    </cfRule>
  </conditionalFormatting>
  <conditionalFormatting sqref="C17:C33">
    <cfRule type="expression" dxfId="142" priority="58" stopIfTrue="1">
      <formula>$A17="Meta"</formula>
    </cfRule>
    <cfRule type="expression" dxfId="141" priority="59" stopIfTrue="1">
      <formula>$A17&lt;&gt;"Serviço"</formula>
    </cfRule>
  </conditionalFormatting>
  <conditionalFormatting sqref="A17:B33">
    <cfRule type="expression" dxfId="140" priority="60" stopIfTrue="1">
      <formula>$A17="Meta"</formula>
    </cfRule>
    <cfRule type="expression" dxfId="139" priority="61" stopIfTrue="1">
      <formula>LEFT($A17,5)="Nível"</formula>
    </cfRule>
    <cfRule type="expression" dxfId="138" priority="62" stopIfTrue="1">
      <formula>$A17=0</formula>
    </cfRule>
  </conditionalFormatting>
  <conditionalFormatting sqref="U17:U33">
    <cfRule type="expression" dxfId="137" priority="63" stopIfTrue="1">
      <formula>$A17="Meta"</formula>
    </cfRule>
    <cfRule type="expression" dxfId="136" priority="64" stopIfTrue="1">
      <formula>OR(U$9=0,$A17&lt;&gt;"Serviço")</formula>
    </cfRule>
    <cfRule type="expression" dxfId="135" priority="65" stopIfTrue="1">
      <formula>TipoOrçamento="Licitado"</formula>
    </cfRule>
  </conditionalFormatting>
  <conditionalFormatting sqref="F17:O33">
    <cfRule type="expression" dxfId="134" priority="53" stopIfTrue="1">
      <formula>$A17="Meta"</formula>
    </cfRule>
    <cfRule type="expression" dxfId="133" priority="54" stopIfTrue="1">
      <formula>OR(F$9=0,$A17&lt;&gt;"Serviço")</formula>
    </cfRule>
    <cfRule type="expression" dxfId="132" priority="55" stopIfTrue="1">
      <formula>TipoOrçamento="Licitado"</formula>
    </cfRule>
  </conditionalFormatting>
  <conditionalFormatting sqref="D34:E45">
    <cfRule type="expression" dxfId="131" priority="43" stopIfTrue="1">
      <formula>$A34="Meta"</formula>
    </cfRule>
    <cfRule type="expression" dxfId="130" priority="44" stopIfTrue="1">
      <formula>$A34&lt;&gt;"Serviço"</formula>
    </cfRule>
  </conditionalFormatting>
  <conditionalFormatting sqref="C34:C45">
    <cfRule type="expression" dxfId="129" priority="45" stopIfTrue="1">
      <formula>$A34="Meta"</formula>
    </cfRule>
    <cfRule type="expression" dxfId="128" priority="46" stopIfTrue="1">
      <formula>$A34&lt;&gt;"Serviço"</formula>
    </cfRule>
  </conditionalFormatting>
  <conditionalFormatting sqref="A34:B45">
    <cfRule type="expression" dxfId="127" priority="47" stopIfTrue="1">
      <formula>$A34="Meta"</formula>
    </cfRule>
    <cfRule type="expression" dxfId="126" priority="48" stopIfTrue="1">
      <formula>LEFT($A34,5)="Nível"</formula>
    </cfRule>
    <cfRule type="expression" dxfId="125" priority="49" stopIfTrue="1">
      <formula>$A34=0</formula>
    </cfRule>
  </conditionalFormatting>
  <conditionalFormatting sqref="U34:U45">
    <cfRule type="expression" dxfId="124" priority="50" stopIfTrue="1">
      <formula>$A34="Meta"</formula>
    </cfRule>
    <cfRule type="expression" dxfId="123" priority="51" stopIfTrue="1">
      <formula>OR(U$9=0,$A34&lt;&gt;"Serviço")</formula>
    </cfRule>
    <cfRule type="expression" dxfId="122" priority="52" stopIfTrue="1">
      <formula>TipoOrçamento="Licitado"</formula>
    </cfRule>
  </conditionalFormatting>
  <conditionalFormatting sqref="F34:O45">
    <cfRule type="expression" dxfId="121" priority="40" stopIfTrue="1">
      <formula>$A34="Meta"</formula>
    </cfRule>
    <cfRule type="expression" dxfId="120" priority="41" stopIfTrue="1">
      <formula>OR(F$9=0,$A34&lt;&gt;"Serviço")</formula>
    </cfRule>
    <cfRule type="expression" dxfId="119" priority="42" stopIfTrue="1">
      <formula>TipoOrçamento="Licitado"</formula>
    </cfRule>
  </conditionalFormatting>
  <conditionalFormatting sqref="D86:E86">
    <cfRule type="expression" dxfId="118" priority="17" stopIfTrue="1">
      <formula>$A86="Meta"</formula>
    </cfRule>
    <cfRule type="expression" dxfId="117" priority="18" stopIfTrue="1">
      <formula>$A86&lt;&gt;"Serviço"</formula>
    </cfRule>
  </conditionalFormatting>
  <conditionalFormatting sqref="C86">
    <cfRule type="expression" dxfId="116" priority="19" stopIfTrue="1">
      <formula>$A86="Meta"</formula>
    </cfRule>
    <cfRule type="expression" dxfId="115" priority="20" stopIfTrue="1">
      <formula>$A86&lt;&gt;"Serviço"</formula>
    </cfRule>
  </conditionalFormatting>
  <conditionalFormatting sqref="A86:B86">
    <cfRule type="expression" dxfId="114" priority="21" stopIfTrue="1">
      <formula>$A86="Meta"</formula>
    </cfRule>
    <cfRule type="expression" dxfId="113" priority="22" stopIfTrue="1">
      <formula>LEFT($A86,5)="Nível"</formula>
    </cfRule>
    <cfRule type="expression" dxfId="112" priority="23" stopIfTrue="1">
      <formula>$A86=0</formula>
    </cfRule>
  </conditionalFormatting>
  <conditionalFormatting sqref="U86">
    <cfRule type="expression" dxfId="111" priority="24" stopIfTrue="1">
      <formula>$A86="Meta"</formula>
    </cfRule>
    <cfRule type="expression" dxfId="110" priority="25" stopIfTrue="1">
      <formula>OR(U$9=0,$A86&lt;&gt;"Serviço")</formula>
    </cfRule>
    <cfRule type="expression" dxfId="109" priority="26" stopIfTrue="1">
      <formula>TipoOrçamento="Licitado"</formula>
    </cfRule>
  </conditionalFormatting>
  <conditionalFormatting sqref="F86:O86">
    <cfRule type="expression" dxfId="108" priority="14" stopIfTrue="1">
      <formula>$A86="Meta"</formula>
    </cfRule>
    <cfRule type="expression" dxfId="107" priority="15" stopIfTrue="1">
      <formula>OR(F$9=0,$A86&lt;&gt;"Serviço")</formula>
    </cfRule>
    <cfRule type="expression" dxfId="106" priority="16" stopIfTrue="1">
      <formula>TipoOrçamento="Licitado"</formula>
    </cfRule>
  </conditionalFormatting>
  <conditionalFormatting sqref="D14:E16">
    <cfRule type="expression" dxfId="105" priority="4" stopIfTrue="1">
      <formula>$A14="Meta"</formula>
    </cfRule>
    <cfRule type="expression" dxfId="104" priority="5" stopIfTrue="1">
      <formula>$A14&lt;&gt;"Serviço"</formula>
    </cfRule>
  </conditionalFormatting>
  <conditionalFormatting sqref="C14:C16">
    <cfRule type="expression" dxfId="103" priority="6" stopIfTrue="1">
      <formula>$A14="Meta"</formula>
    </cfRule>
    <cfRule type="expression" dxfId="102" priority="7" stopIfTrue="1">
      <formula>$A14&lt;&gt;"Serviço"</formula>
    </cfRule>
  </conditionalFormatting>
  <conditionalFormatting sqref="A14:B16">
    <cfRule type="expression" dxfId="101" priority="8" stopIfTrue="1">
      <formula>$A14="Meta"</formula>
    </cfRule>
    <cfRule type="expression" dxfId="100" priority="9" stopIfTrue="1">
      <formula>LEFT($A14,5)="Nível"</formula>
    </cfRule>
    <cfRule type="expression" dxfId="99" priority="10" stopIfTrue="1">
      <formula>$A14=0</formula>
    </cfRule>
  </conditionalFormatting>
  <conditionalFormatting sqref="U14:U16">
    <cfRule type="expression" dxfId="98" priority="11" stopIfTrue="1">
      <formula>$A14="Meta"</formula>
    </cfRule>
    <cfRule type="expression" dxfId="97" priority="12" stopIfTrue="1">
      <formula>OR(U$9=0,$A14&lt;&gt;"Serviço")</formula>
    </cfRule>
    <cfRule type="expression" dxfId="96" priority="13" stopIfTrue="1">
      <formula>TipoOrçamento="Licitado"</formula>
    </cfRule>
  </conditionalFormatting>
  <conditionalFormatting sqref="F14:O16">
    <cfRule type="expression" dxfId="95" priority="1" stopIfTrue="1">
      <formula>$A14="Meta"</formula>
    </cfRule>
    <cfRule type="expression" dxfId="94" priority="2" stopIfTrue="1">
      <formula>OR(F$9=0,$A14&lt;&gt;"Serviço")</formula>
    </cfRule>
    <cfRule type="expression" dxfId="93" priority="3"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U14:U226 F14:O226" xr:uid="{00000000-0002-0000-0300-000000000000}">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232 B229" unlockedFormula="1"/>
    <ignoredError sqref="A12 C12" 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6">
    <tabColor rgb="FFFFFF00"/>
    <outlinePr summaryBelow="0"/>
  </sheetPr>
  <dimension ref="A1:AK85"/>
  <sheetViews>
    <sheetView showGridLines="0" topLeftCell="U1" zoomScaleNormal="100" zoomScaleSheetLayoutView="100" workbookViewId="0">
      <selection activeCell="AA73" sqref="AA73"/>
    </sheetView>
  </sheetViews>
  <sheetFormatPr defaultRowHeight="12.75" x14ac:dyDescent="0.2"/>
  <cols>
    <col min="1" max="4" width="9.140625" style="42" hidden="1" customWidth="1"/>
    <col min="5" max="8" width="5.7109375" style="42" hidden="1" customWidth="1"/>
    <col min="9" max="10" width="6.7109375" style="42" hidden="1" customWidth="1"/>
    <col min="11" max="11" width="10.7109375" style="42" hidden="1" customWidth="1"/>
    <col min="12" max="12" width="10.7109375" style="42" customWidth="1"/>
    <col min="13" max="13" width="40.5703125" style="42" customWidth="1"/>
    <col min="14" max="14" width="16.42578125" style="47" customWidth="1"/>
    <col min="15" max="15" width="16.5703125" style="42" bestFit="1" customWidth="1"/>
    <col min="16" max="31" width="15.7109375" style="42" customWidth="1"/>
    <col min="32" max="32" width="0.85546875" style="46" customWidth="1"/>
    <col min="33" max="36" width="9.140625" style="42"/>
    <col min="37" max="37" width="15.7109375" style="42" hidden="1" customWidth="1"/>
    <col min="38" max="16384" width="9.140625" style="42"/>
  </cols>
  <sheetData>
    <row r="1" spans="1:37" s="41" customFormat="1" ht="12.95" customHeight="1" x14ac:dyDescent="0.2">
      <c r="A1" s="21"/>
      <c r="B1" s="21"/>
      <c r="C1" s="21"/>
      <c r="D1" s="21"/>
      <c r="E1" s="172"/>
      <c r="F1" s="172"/>
      <c r="G1" s="172"/>
      <c r="H1" s="172"/>
      <c r="I1" s="172"/>
      <c r="J1" s="172"/>
      <c r="K1" s="172"/>
      <c r="L1" s="21"/>
      <c r="M1" s="21"/>
      <c r="N1" s="21"/>
      <c r="O1" s="173" t="s">
        <v>22</v>
      </c>
      <c r="P1" s="174" t="s">
        <v>115</v>
      </c>
      <c r="Q1" s="175"/>
      <c r="R1" s="21"/>
      <c r="S1" s="21"/>
      <c r="T1" s="21"/>
      <c r="U1" s="1"/>
      <c r="V1" s="1"/>
      <c r="W1" s="1"/>
      <c r="X1" s="174" t="s">
        <v>115</v>
      </c>
      <c r="Y1" s="175"/>
      <c r="Z1" s="21"/>
      <c r="AA1" s="21"/>
      <c r="AB1" s="21"/>
      <c r="AC1" s="1"/>
      <c r="AD1" s="1"/>
      <c r="AE1" s="1"/>
      <c r="AF1" s="1"/>
      <c r="AK1" s="1"/>
    </row>
    <row r="2" spans="1:37" s="41" customFormat="1" ht="12.75" customHeight="1" x14ac:dyDescent="0.2">
      <c r="A2" s="1"/>
      <c r="B2" s="1"/>
      <c r="C2" s="1"/>
      <c r="D2" s="1"/>
      <c r="E2" s="1"/>
      <c r="F2" s="1"/>
      <c r="G2" s="1"/>
      <c r="H2" s="1"/>
      <c r="I2" s="1"/>
      <c r="J2" s="1"/>
      <c r="K2" s="1"/>
      <c r="L2" s="1"/>
      <c r="M2" s="1"/>
      <c r="N2" s="1"/>
      <c r="O2" s="173"/>
      <c r="P2" s="176"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s="1"/>
      <c r="R2" s="1"/>
      <c r="S2" s="1"/>
      <c r="T2" s="1"/>
      <c r="U2" s="1"/>
      <c r="V2" s="174"/>
      <c r="W2" s="1"/>
      <c r="X2" s="176"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Y2" s="1"/>
      <c r="Z2" s="1"/>
      <c r="AA2" s="1"/>
      <c r="AB2" s="1"/>
      <c r="AC2" s="1"/>
      <c r="AD2" s="174"/>
      <c r="AE2" s="1"/>
      <c r="AF2" s="1"/>
      <c r="AK2" s="1"/>
    </row>
    <row r="3" spans="1:37" s="41" customFormat="1" ht="12.75" customHeight="1" x14ac:dyDescent="0.2">
      <c r="A3" s="1"/>
      <c r="B3" s="1"/>
      <c r="C3" s="1"/>
      <c r="D3" s="1"/>
      <c r="E3" s="1"/>
      <c r="F3" s="1"/>
      <c r="G3" s="1"/>
      <c r="H3" s="1"/>
      <c r="I3" s="1"/>
      <c r="J3" s="1"/>
      <c r="K3" s="1"/>
      <c r="L3" s="1"/>
      <c r="M3" s="1"/>
      <c r="N3" s="1"/>
      <c r="O3" s="1"/>
      <c r="P3" s="1"/>
      <c r="Q3" s="1"/>
      <c r="R3" s="1"/>
      <c r="S3" s="82"/>
      <c r="T3" s="1"/>
      <c r="U3" s="1"/>
      <c r="V3" s="1"/>
      <c r="W3" s="1"/>
      <c r="X3" s="1"/>
      <c r="Y3" s="1"/>
      <c r="Z3" s="1"/>
      <c r="AA3" s="82"/>
      <c r="AB3" s="1"/>
      <c r="AC3" s="1"/>
      <c r="AD3" s="1"/>
      <c r="AE3" s="1"/>
      <c r="AF3" s="1"/>
      <c r="AK3" s="1"/>
    </row>
    <row r="4" spans="1:37" s="41" customFormat="1" ht="24.95" customHeight="1" x14ac:dyDescent="0.2">
      <c r="A4" s="1"/>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K4" s="1"/>
    </row>
    <row r="5" spans="1:37" s="41" customFormat="1" ht="24.95" customHeight="1" x14ac:dyDescent="0.2">
      <c r="A5" s="1"/>
      <c r="B5" s="1"/>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K5" s="1"/>
    </row>
    <row r="6" spans="1:37" s="41" customFormat="1" ht="24.95" customHeight="1" x14ac:dyDescent="0.2">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K6" s="1"/>
    </row>
    <row r="7" spans="1:37" s="41" customFormat="1" ht="21.75" customHeight="1" x14ac:dyDescent="0.2">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K7" s="1"/>
    </row>
    <row r="8" spans="1:37" s="41" customFormat="1" ht="30" customHeight="1" x14ac:dyDescent="0.2">
      <c r="A8" s="177" t="s">
        <v>176</v>
      </c>
      <c r="B8" s="1"/>
      <c r="C8" s="1"/>
      <c r="D8" s="1"/>
      <c r="E8" s="1"/>
      <c r="F8" s="1"/>
      <c r="G8" s="1"/>
      <c r="H8" s="1"/>
      <c r="I8" s="1"/>
      <c r="J8" s="1"/>
      <c r="K8" s="1"/>
      <c r="L8" s="380" t="str">
        <f ca="1">IF(MAX($A$14:$A$76)&lt;&gt;MAX(PO!$V$12:$V$227),"ERRO: CRONOGRAMA DESATUALIZADO",IF(OR(COUNTIF($O$16:$AF$16,"&gt;1")&gt;0,OFFSET($AF$17,0,-1)&lt;&gt;$N$14),"ERRO: CRONOGRAMA NÃO FECHA EM 100%",""))</f>
        <v>ERRO: CRONOGRAMA DESATUALIZADO</v>
      </c>
      <c r="M8" s="380"/>
      <c r="N8" s="160" t="str">
        <f>IF(TipoOrçamento="REPROGRAMADOAC","Qtde de Medições realizadas","")</f>
        <v/>
      </c>
      <c r="O8" s="178"/>
      <c r="P8" s="179"/>
      <c r="Q8" s="1"/>
      <c r="R8" s="1"/>
      <c r="S8" s="1"/>
      <c r="T8" s="1"/>
      <c r="U8" s="1"/>
      <c r="V8" s="1"/>
      <c r="W8" s="1"/>
      <c r="X8" s="179"/>
      <c r="Y8" s="1"/>
      <c r="Z8" s="1"/>
      <c r="AA8" s="1"/>
      <c r="AB8" s="1"/>
      <c r="AC8" s="1"/>
      <c r="AD8" s="1"/>
      <c r="AE8" s="1"/>
      <c r="AF8" s="1"/>
      <c r="AK8" s="1"/>
    </row>
    <row r="9" spans="1:37" s="41" customFormat="1" ht="14.1" customHeight="1" x14ac:dyDescent="0.2">
      <c r="A9" s="166">
        <v>2</v>
      </c>
      <c r="B9" s="1"/>
      <c r="C9" s="1"/>
      <c r="D9" s="1"/>
      <c r="E9" s="1"/>
      <c r="F9" s="1"/>
      <c r="G9" s="1"/>
      <c r="H9" s="1"/>
      <c r="I9" s="1"/>
      <c r="J9" s="1"/>
      <c r="K9" s="1"/>
      <c r="L9" s="82"/>
      <c r="M9" s="82"/>
      <c r="N9" s="159">
        <v>1</v>
      </c>
      <c r="O9" s="149">
        <f>IF(AND(TipoOrçamento="REPROGRAMADOAC",$N$9&gt;0),$N$9-1,0)</f>
        <v>0</v>
      </c>
      <c r="P9" s="148">
        <f t="shared" ref="P9:AE9" ca="1" si="0">OFFSET(P9,0,-1)+1</f>
        <v>1</v>
      </c>
      <c r="Q9" s="148">
        <f t="shared" ca="1" si="0"/>
        <v>2</v>
      </c>
      <c r="R9" s="148">
        <f t="shared" ca="1" si="0"/>
        <v>3</v>
      </c>
      <c r="S9" s="148">
        <f t="shared" ca="1" si="0"/>
        <v>4</v>
      </c>
      <c r="T9" s="148">
        <f t="shared" ca="1" si="0"/>
        <v>5</v>
      </c>
      <c r="U9" s="148">
        <f t="shared" ca="1" si="0"/>
        <v>6</v>
      </c>
      <c r="V9" s="148">
        <f t="shared" ca="1" si="0"/>
        <v>7</v>
      </c>
      <c r="W9" s="148">
        <f t="shared" ca="1" si="0"/>
        <v>8</v>
      </c>
      <c r="X9" s="148">
        <f t="shared" ca="1" si="0"/>
        <v>9</v>
      </c>
      <c r="Y9" s="148">
        <f t="shared" ca="1" si="0"/>
        <v>10</v>
      </c>
      <c r="Z9" s="148">
        <f t="shared" ca="1" si="0"/>
        <v>11</v>
      </c>
      <c r="AA9" s="148">
        <f t="shared" ca="1" si="0"/>
        <v>12</v>
      </c>
      <c r="AB9" s="148">
        <f t="shared" ca="1" si="0"/>
        <v>13</v>
      </c>
      <c r="AC9" s="148">
        <f t="shared" ca="1" si="0"/>
        <v>14</v>
      </c>
      <c r="AD9" s="148">
        <f t="shared" ca="1" si="0"/>
        <v>15</v>
      </c>
      <c r="AE9" s="148">
        <f t="shared" ca="1" si="0"/>
        <v>16</v>
      </c>
      <c r="AF9" s="1"/>
      <c r="AK9" s="148">
        <f ca="1">OFFSET(AK9,0,-1)+1</f>
        <v>1</v>
      </c>
    </row>
    <row r="10" spans="1:37" s="43" customFormat="1" ht="30" customHeight="1" x14ac:dyDescent="0.2">
      <c r="A10" s="180" t="s">
        <v>161</v>
      </c>
      <c r="B10" s="180" t="s">
        <v>129</v>
      </c>
      <c r="C10" s="180" t="s">
        <v>3</v>
      </c>
      <c r="D10" s="180" t="s">
        <v>123</v>
      </c>
      <c r="E10" s="180" t="s">
        <v>109</v>
      </c>
      <c r="F10" s="180" t="s">
        <v>110</v>
      </c>
      <c r="G10" s="180" t="s">
        <v>127</v>
      </c>
      <c r="H10" s="180" t="s">
        <v>128</v>
      </c>
      <c r="I10" s="180" t="s">
        <v>124</v>
      </c>
      <c r="J10" s="180" t="s">
        <v>125</v>
      </c>
      <c r="K10" s="180" t="s">
        <v>178</v>
      </c>
      <c r="L10" s="181" t="s">
        <v>147</v>
      </c>
      <c r="M10" s="182" t="s">
        <v>160</v>
      </c>
      <c r="N10" s="183" t="s">
        <v>139</v>
      </c>
      <c r="O10" s="218" t="str">
        <f>IF(TipoOrçamento="REPROGRAMADOAC","Reinício de Obra","Início de Obra")&amp;CHAR(10)&amp;TEXT(DADOS!A48,"dd/mm/aa")</f>
        <v>Início de Obra
01/05/22</v>
      </c>
      <c r="P10" s="219" t="str">
        <f ca="1">IF(AND(TipoOrçamento="REPROGRAMADOAC",$N$9&gt;0,N10="Valores Totais (R$)"),"Parcela "&amp;$N$9&amp;" Executado","Parcela "&amp;P$9&amp;CHAR(10)&amp;TEXT(DATE(YEAR(DADOS!$A$48),MONTH(DADOS!$A$48)+P$9-IF(AND(TipoOrçamento="REPROGRAMADOAC",$N$9&gt;0),$N$9,0),1),"mmm/aa"))</f>
        <v>Parcela 1
jun/22</v>
      </c>
      <c r="Q10" s="210" t="str">
        <f ca="1">IF(AND(TipoOrçamento="REPROGRAMADOAC",$N$9&gt;0,O10="Valores Totais (R$)"),"Parcela "&amp;$N$9&amp;" Executado","Parcela "&amp;Q$9&amp;CHAR(10)&amp;TEXT(DATE(YEAR(DADOS!$A$48),MONTH(DADOS!$A$48)+Q$9-IF(AND(TipoOrçamento="REPROGRAMADOAC",$N$9&gt;0),$N$9,0),1),"mmm/aa"))</f>
        <v>Parcela 2
jul/22</v>
      </c>
      <c r="R10" s="210" t="str">
        <f ca="1">IF(AND(TipoOrçamento="REPROGRAMADOAC",$N$9&gt;0,P10="Valores Totais (R$)"),"Parcela "&amp;$N$9&amp;" Executado","Parcela "&amp;R$9&amp;CHAR(10)&amp;TEXT(DATE(YEAR(DADOS!$A$48),MONTH(DADOS!$A$48)+R$9-IF(AND(TipoOrçamento="REPROGRAMADOAC",$N$9&gt;0),$N$9,0),1),"mmm/aa"))</f>
        <v>Parcela 3
ago/22</v>
      </c>
      <c r="S10" s="210" t="str">
        <f ca="1">IF(AND(TipoOrçamento="REPROGRAMADOAC",$N$9&gt;0,Q10="Valores Totais (R$)"),"Parcela "&amp;$N$9&amp;" Executado","Parcela "&amp;S$9&amp;CHAR(10)&amp;TEXT(DATE(YEAR(DADOS!$A$48),MONTH(DADOS!$A$48)+S$9-IF(AND(TipoOrçamento="REPROGRAMADOAC",$N$9&gt;0),$N$9,0),1),"mmm/aa"))</f>
        <v>Parcela 4
set/22</v>
      </c>
      <c r="T10" s="210" t="str">
        <f ca="1">IF(AND(TipoOrçamento="REPROGRAMADOAC",$N$9&gt;0,R10="Valores Totais (R$)"),"Parcela "&amp;$N$9&amp;" Executado","Parcela "&amp;T$9&amp;CHAR(10)&amp;TEXT(DATE(YEAR(DADOS!$A$48),MONTH(DADOS!$A$48)+T$9-IF(AND(TipoOrçamento="REPROGRAMADOAC",$N$9&gt;0),$N$9,0),1),"mmm/aa"))</f>
        <v>Parcela 5
out/22</v>
      </c>
      <c r="U10" s="210" t="str">
        <f ca="1">IF(AND(TipoOrçamento="REPROGRAMADOAC",$N$9&gt;0,S10="Valores Totais (R$)"),"Parcela "&amp;$N$9&amp;" Executado","Parcela "&amp;U$9&amp;CHAR(10)&amp;TEXT(DATE(YEAR(DADOS!$A$48),MONTH(DADOS!$A$48)+U$9-IF(AND(TipoOrçamento="REPROGRAMADOAC",$N$9&gt;0),$N$9,0),1),"mmm/aa"))</f>
        <v>Parcela 6
nov/22</v>
      </c>
      <c r="V10" s="210" t="str">
        <f ca="1">IF(AND(TipoOrçamento="REPROGRAMADOAC",$N$9&gt;0,T10="Valores Totais (R$)"),"Parcela "&amp;$N$9&amp;" Executado","Parcela "&amp;V$9&amp;CHAR(10)&amp;TEXT(DATE(YEAR(DADOS!$A$48),MONTH(DADOS!$A$48)+V$9-IF(AND(TipoOrçamento="REPROGRAMADOAC",$N$9&gt;0),$N$9,0),1),"mmm/aa"))</f>
        <v>Parcela 7
dez/22</v>
      </c>
      <c r="W10" s="222" t="str">
        <f ca="1">IF(AND(TipoOrçamento="REPROGRAMADOAC",$N$9&gt;0,U10="Valores Totais (R$)"),"Parcela "&amp;$N$9&amp;" Executado","Parcela "&amp;W$9&amp;CHAR(10)&amp;TEXT(DATE(YEAR(DADOS!$A$48),MONTH(DADOS!$A$48)+W$9-IF(AND(TipoOrçamento="REPROGRAMADOAC",$N$9&gt;0),$N$9,0),1),"mmm/aa"))</f>
        <v>Parcela 8
jan/23</v>
      </c>
      <c r="X10" s="219" t="str">
        <f ca="1">IF(AND(TipoOrçamento="REPROGRAMADOAC",$N$9&gt;0,V10="Valores Totais (R$)"),"Parcela "&amp;$N$9&amp;" Executado","Parcela "&amp;X$9&amp;CHAR(10)&amp;TEXT(DATE(YEAR(DADOS!$A$48),MONTH(DADOS!$A$48)+X$9-IF(AND(TipoOrçamento="REPROGRAMADOAC",$N$9&gt;0),$N$9,0),1),"mmm/aa"))</f>
        <v>Parcela 9
fev/23</v>
      </c>
      <c r="Y10" s="233" t="str">
        <f ca="1">IF(AND(TipoOrçamento="REPROGRAMADOAC",$N$9&gt;0,W10="Valores Totais (R$)"),"Parcela "&amp;$N$9&amp;" Executado","Parcela "&amp;Y$9&amp;CHAR(10)&amp;TEXT(DATE(YEAR(DADOS!$A$48),MONTH(DADOS!$A$48)+Y$9-IF(AND(TipoOrçamento="REPROGRAMADOAC",$N$9&gt;0),$N$9,0),1),"mmm/aa"))</f>
        <v>Parcela 10
mar/23</v>
      </c>
      <c r="Z10" s="233" t="str">
        <f ca="1">IF(AND(TipoOrçamento="REPROGRAMADOAC",$N$9&gt;0,X10="Valores Totais (R$)"),"Parcela "&amp;$N$9&amp;" Executado","Parcela "&amp;Z$9&amp;CHAR(10)&amp;TEXT(DATE(YEAR(DADOS!$A$48),MONTH(DADOS!$A$48)+Z$9-IF(AND(TipoOrçamento="REPROGRAMADOAC",$N$9&gt;0),$N$9,0),1),"mmm/aa"))</f>
        <v>Parcela 11
abr/23</v>
      </c>
      <c r="AA10" s="233" t="str">
        <f ca="1">IF(AND(TipoOrçamento="REPROGRAMADOAC",$N$9&gt;0,Y10="Valores Totais (R$)"),"Parcela "&amp;$N$9&amp;" Executado","Parcela "&amp;AA$9&amp;CHAR(10)&amp;TEXT(DATE(YEAR(DADOS!$A$48),MONTH(DADOS!$A$48)+AA$9-IF(AND(TipoOrçamento="REPROGRAMADOAC",$N$9&gt;0),$N$9,0),1),"mmm/aa"))</f>
        <v>Parcela 12
mai/23</v>
      </c>
      <c r="AB10" s="233" t="str">
        <f ca="1">IF(AND(TipoOrçamento="REPROGRAMADOAC",$N$9&gt;0,Z10="Valores Totais (R$)"),"Parcela "&amp;$N$9&amp;" Executado","Parcela "&amp;AB$9&amp;CHAR(10)&amp;TEXT(DATE(YEAR(DADOS!$A$48),MONTH(DADOS!$A$48)+AB$9-IF(AND(TipoOrçamento="REPROGRAMADOAC",$N$9&gt;0),$N$9,0),1),"mmm/aa"))</f>
        <v>Parcela 13
jun/23</v>
      </c>
      <c r="AC10" s="233" t="str">
        <f ca="1">IF(AND(TipoOrçamento="REPROGRAMADOAC",$N$9&gt;0,AA10="Valores Totais (R$)"),"Parcela "&amp;$N$9&amp;" Executado","Parcela "&amp;AC$9&amp;CHAR(10)&amp;TEXT(DATE(YEAR(DADOS!$A$48),MONTH(DADOS!$A$48)+AC$9-IF(AND(TipoOrçamento="REPROGRAMADOAC",$N$9&gt;0),$N$9,0),1),"mmm/aa"))</f>
        <v>Parcela 14
jul/23</v>
      </c>
      <c r="AD10" s="233" t="str">
        <f ca="1">IF(AND(TipoOrçamento="REPROGRAMADOAC",$N$9&gt;0,AB10="Valores Totais (R$)"),"Parcela "&amp;$N$9&amp;" Executado","Parcela "&amp;AD$9&amp;CHAR(10)&amp;TEXT(DATE(YEAR(DADOS!$A$48),MONTH(DADOS!$A$48)+AD$9-IF(AND(TipoOrçamento="REPROGRAMADOAC",$N$9&gt;0),$N$9,0),1),"mmm/aa"))</f>
        <v>Parcela 15
ago/23</v>
      </c>
      <c r="AE10" s="222" t="str">
        <f ca="1">IF(AND(TipoOrçamento="REPROGRAMADOAC",$N$9&gt;0,AC10="Valores Totais (R$)"),"Parcela "&amp;$N$9&amp;" Executado","Parcela "&amp;AE$9&amp;CHAR(10)&amp;TEXT(DATE(YEAR(DADOS!$A$48),MONTH(DADOS!$A$48)+AE$9-IF(AND(TipoOrçamento="REPROGRAMADOAC",$N$9&gt;0),$N$9,0),1),"mmm/aa"))</f>
        <v>Parcela 16
set/23</v>
      </c>
      <c r="AF10" s="195"/>
      <c r="AK10" s="210" t="str">
        <f ca="1">IF(AND(TipoOrçamento="REPROGRAMADOAC",$N$9&gt;0,AI10="Valores Totais (R$)"),"Parcela "&amp;$N$9&amp;" Executado","Parcela "&amp;AK$9&amp;CHAR(10)&amp;TEXT(DATE(YEAR(DADOS!$A$48),MONTH(DADOS!$A$48)+AK$9-IF(AND(TipoOrçamento="REPROGRAMADOAC",$N$9&gt;0),$N$9,0),1),"mmm/aa"))</f>
        <v>Parcela 1
jun/22</v>
      </c>
    </row>
    <row r="11" spans="1:37" customFormat="1" ht="14.25" hidden="1" customHeight="1" x14ac:dyDescent="0.2">
      <c r="A11" s="82"/>
      <c r="B11" s="82"/>
      <c r="C11" s="82"/>
      <c r="D11" s="82"/>
      <c r="E11" s="82"/>
      <c r="F11" s="82"/>
      <c r="G11" s="82"/>
      <c r="H11" s="82"/>
      <c r="I11" s="82"/>
      <c r="J11" s="82"/>
      <c r="K11" s="82"/>
      <c r="L11" s="374" t="e">
        <f ca="1">INDEX(PO!K$12:K$227,MATCH($A13,PO!$V$12:$V$227,0))</f>
        <v>#VALUE!</v>
      </c>
      <c r="M11" s="376" t="e">
        <f ca="1">INDEX(PO!N$12:N$227,MATCH($A13,PO!$V$12:$V$227,0))</f>
        <v>#VALUE!</v>
      </c>
      <c r="N11" s="378" t="e">
        <f ca="1">IF(ROUND(K13,2)=0,K13,ROUND(K13,2))</f>
        <v>#VALUE!</v>
      </c>
      <c r="O11" s="220" t="s">
        <v>143</v>
      </c>
      <c r="P11" s="225" t="e">
        <f ca="1">IF($B13,0,P12-IF(ISNUMBER(O12),O12,0))</f>
        <v>#VALUE!</v>
      </c>
      <c r="Q11" s="226" t="e">
        <f t="shared" ref="Q11:W11" ca="1" si="1">IF($B13,0,Q12-IF(ISNUMBER(P12),P12,0))</f>
        <v>#VALUE!</v>
      </c>
      <c r="R11" s="226" t="e">
        <f t="shared" ca="1" si="1"/>
        <v>#VALUE!</v>
      </c>
      <c r="S11" s="226" t="e">
        <f t="shared" ca="1" si="1"/>
        <v>#VALUE!</v>
      </c>
      <c r="T11" s="226" t="e">
        <f t="shared" ca="1" si="1"/>
        <v>#VALUE!</v>
      </c>
      <c r="U11" s="226" t="e">
        <f t="shared" ca="1" si="1"/>
        <v>#VALUE!</v>
      </c>
      <c r="V11" s="226" t="e">
        <f t="shared" ca="1" si="1"/>
        <v>#VALUE!</v>
      </c>
      <c r="W11" s="227" t="e">
        <f t="shared" ca="1" si="1"/>
        <v>#VALUE!</v>
      </c>
      <c r="X11" s="225" t="e">
        <f ca="1">IF($B13,0,X12-IF(ISNUMBER(W12),W12,0))</f>
        <v>#VALUE!</v>
      </c>
      <c r="Y11" s="226" t="e">
        <f t="shared" ref="Y11" ca="1" si="2">IF($B13,0,Y12-IF(ISNUMBER(X12),X12,0))</f>
        <v>#VALUE!</v>
      </c>
      <c r="Z11" s="226" t="e">
        <f t="shared" ref="Z11" ca="1" si="3">IF($B13,0,Z12-IF(ISNUMBER(Y12),Y12,0))</f>
        <v>#VALUE!</v>
      </c>
      <c r="AA11" s="226" t="e">
        <f t="shared" ref="AA11" ca="1" si="4">IF($B13,0,AA12-IF(ISNUMBER(Z12),Z12,0))</f>
        <v>#VALUE!</v>
      </c>
      <c r="AB11" s="226" t="e">
        <f t="shared" ref="AB11" ca="1" si="5">IF($B13,0,AB12-IF(ISNUMBER(AA12),AA12,0))</f>
        <v>#VALUE!</v>
      </c>
      <c r="AC11" s="226" t="e">
        <f t="shared" ref="AC11" ca="1" si="6">IF($B13,0,AC12-IF(ISNUMBER(AB12),AB12,0))</f>
        <v>#VALUE!</v>
      </c>
      <c r="AD11" s="226" t="e">
        <f t="shared" ref="AD11" ca="1" si="7">IF($B13,0,AD12-IF(ISNUMBER(AC12),AC12,0))</f>
        <v>#VALUE!</v>
      </c>
      <c r="AE11" s="227" t="e">
        <f t="shared" ref="AE11" ca="1" si="8">IF($B13,0,AE12-IF(ISNUMBER(AD12),AD12,0))</f>
        <v>#VALUE!</v>
      </c>
      <c r="AF11" s="196"/>
      <c r="AK11" s="221" t="e">
        <f ca="1">IF($B13,0,AK12-IF(ISNUMBER(AJ12),AJ12,0))</f>
        <v>#VALUE!</v>
      </c>
    </row>
    <row r="12" spans="1:37" customFormat="1" ht="14.25" hidden="1" x14ac:dyDescent="0.2">
      <c r="A12" s="184"/>
      <c r="B12" s="184"/>
      <c r="C12" s="184"/>
      <c r="D12" s="184"/>
      <c r="E12" s="184"/>
      <c r="F12" s="184"/>
      <c r="G12" s="184"/>
      <c r="H12" s="184"/>
      <c r="I12" s="184"/>
      <c r="J12" s="184"/>
      <c r="K12" s="184"/>
      <c r="L12" s="375"/>
      <c r="M12" s="377"/>
      <c r="N12" s="379"/>
      <c r="O12" s="170" t="s">
        <v>145</v>
      </c>
      <c r="P12" s="198" t="e">
        <f ca="1">MIN(IF($B13,P11+IF(ISNUMBER(O12),O12,0),P13/$N11),1)</f>
        <v>#VALUE!</v>
      </c>
      <c r="Q12" s="168" t="e">
        <f t="shared" ref="Q12:W12" ca="1" si="9">MIN(IF($B13,Q11+IF(ISNUMBER(P12),P12,0),Q13/$N11),1)</f>
        <v>#VALUE!</v>
      </c>
      <c r="R12" s="168" t="e">
        <f t="shared" ca="1" si="9"/>
        <v>#VALUE!</v>
      </c>
      <c r="S12" s="168" t="e">
        <f t="shared" ca="1" si="9"/>
        <v>#VALUE!</v>
      </c>
      <c r="T12" s="168" t="e">
        <f t="shared" ca="1" si="9"/>
        <v>#VALUE!</v>
      </c>
      <c r="U12" s="168" t="e">
        <f t="shared" ca="1" si="9"/>
        <v>#VALUE!</v>
      </c>
      <c r="V12" s="168" t="e">
        <f t="shared" ca="1" si="9"/>
        <v>#VALUE!</v>
      </c>
      <c r="W12" s="168" t="e">
        <f t="shared" ca="1" si="9"/>
        <v>#VALUE!</v>
      </c>
      <c r="X12" s="198" t="e">
        <f ca="1">MIN(IF($B13,X11+IF(ISNUMBER(W12),W12,0),X13/$N11),1)</f>
        <v>#VALUE!</v>
      </c>
      <c r="Y12" s="168" t="e">
        <f t="shared" ref="Y12" ca="1" si="10">MIN(IF($B13,Y11+IF(ISNUMBER(X12),X12,0),Y13/$N11),1)</f>
        <v>#VALUE!</v>
      </c>
      <c r="Z12" s="168" t="e">
        <f t="shared" ref="Z12" ca="1" si="11">MIN(IF($B13,Z11+IF(ISNUMBER(Y12),Y12,0),Z13/$N11),1)</f>
        <v>#VALUE!</v>
      </c>
      <c r="AA12" s="168" t="e">
        <f t="shared" ref="AA12" ca="1" si="12">MIN(IF($B13,AA11+IF(ISNUMBER(Z12),Z12,0),AA13/$N11),1)</f>
        <v>#VALUE!</v>
      </c>
      <c r="AB12" s="168" t="e">
        <f t="shared" ref="AB12" ca="1" si="13">MIN(IF($B13,AB11+IF(ISNUMBER(AA12),AA12,0),AB13/$N11),1)</f>
        <v>#VALUE!</v>
      </c>
      <c r="AC12" s="168" t="e">
        <f t="shared" ref="AC12" ca="1" si="14">MIN(IF($B13,AC11+IF(ISNUMBER(AB12),AB12,0),AC13/$N11),1)</f>
        <v>#VALUE!</v>
      </c>
      <c r="AD12" s="168" t="e">
        <f t="shared" ref="AD12" ca="1" si="15">MIN(IF($B13,AD11+IF(ISNUMBER(AC12),AC12,0),AD13/$N11),1)</f>
        <v>#VALUE!</v>
      </c>
      <c r="AE12" s="168" t="e">
        <f t="shared" ref="AE12" ca="1" si="16">MIN(IF($B13,AE11+IF(ISNUMBER(AD12),AD12,0),AE13/$N11),1)</f>
        <v>#VALUE!</v>
      </c>
      <c r="AF12" s="196"/>
      <c r="AK12" s="168" t="e">
        <f ca="1">MIN(IF($B13,AK11+IF(ISNUMBER(AJ12),AJ12,0),AK13/$N11),1)</f>
        <v>#VALUE!</v>
      </c>
    </row>
    <row r="13" spans="1:37" customFormat="1" ht="14.25" hidden="1" x14ac:dyDescent="0.2">
      <c r="A13" s="184" t="e">
        <f ca="1">OFFSET(A13,-CFF.NumLinha,0)+1</f>
        <v>#VALUE!</v>
      </c>
      <c r="B13" s="184" t="e">
        <f ca="1">$C13&gt;=OFFSET($C13,CFF.NumLinha,0)</f>
        <v>#VALUE!</v>
      </c>
      <c r="C13" s="184" t="e">
        <f ca="1">INDEX(PO!A$12:A$227,MATCH($A13,PO!$V$12:$V$227,0))</f>
        <v>#VALUE!</v>
      </c>
      <c r="D13" s="184" t="e">
        <f ca="1">IF(ISERROR(J13),I13,SMALL(I13:J13,1))-1</f>
        <v>#VALUE!</v>
      </c>
      <c r="E13" s="184" t="e">
        <f ca="1">IF($C13=1,OFFSET(E13,-CFF.NumLinha,0)+1,OFFSET(E13,-CFF.NumLinha,0))</f>
        <v>#VALUE!</v>
      </c>
      <c r="F13" s="184" t="e">
        <f ca="1">IF($C13=1,0,IF($C13=2,OFFSET(F13,-CFF.NumLinha,0)+1,OFFSET(F13,-CFF.NumLinha,0)))</f>
        <v>#VALUE!</v>
      </c>
      <c r="G13" s="184" t="e">
        <f ca="1">IF(AND($C13&lt;=2,$C13&lt;&gt;0),0,IF($C13=3,OFFSET(G13,-CFF.NumLinha,0)+1,OFFSET(G13,-CFF.NumLinha,0)))</f>
        <v>#VALUE!</v>
      </c>
      <c r="H13" s="184" t="e">
        <f ca="1">IF(AND($C13&lt;=3,$C13&lt;&gt;0),0,IF($C13=4,OFFSET(H13,-CFF.NumLinha,0)+1,OFFSET(H13,-CFF.NumLinha,0)))</f>
        <v>#VALUE!</v>
      </c>
      <c r="I13" s="184" t="e">
        <f ca="1">MATCH(0,OFFSET($D13,1,$C13,ROW($A$75)-ROW($A13)),0)</f>
        <v>#VALUE!</v>
      </c>
      <c r="J13" s="184" t="e">
        <f ca="1">MATCH(OFFSET($D13,0,$C13)+1,OFFSET($D13,1,$C13,ROW($A$75)-ROW($A13)),0)</f>
        <v>#VALUE!</v>
      </c>
      <c r="K13" s="185" t="e">
        <f ca="1">ROUND(INDEX(PO!T$12:T$227,MATCH($A13,PO!$V$12:$V$227,0)),2)+10^-12</f>
        <v>#VALUE!</v>
      </c>
      <c r="L13" s="375"/>
      <c r="M13" s="377"/>
      <c r="N13" s="379"/>
      <c r="O13" s="204" t="s">
        <v>20</v>
      </c>
      <c r="P13" s="199" t="e">
        <f ca="1">IF($B13,ROUND(P12*$N11,2),ROUND(SUMIF(OFFSET($B13,1,0,$D13),TRUE,OFFSET(P13,1,0,$D13))/SUMIF(OFFSET($B13,1,0,$D13),TRUE,OFFSET($K13,1,0,$D13))*$N11,2))</f>
        <v>#VALUE!</v>
      </c>
      <c r="Q13" s="169" t="e">
        <f t="shared" ref="Q13:W13" ca="1" si="17">IF($B13,ROUND(Q12*$N11,2),ROUND(SUMIF(OFFSET($B13,1,0,$D13),TRUE,OFFSET(Q13,1,0,$D13))/SUMIF(OFFSET($B13,1,0,$D13),TRUE,OFFSET($K13,1,0,$D13))*$N11,2))</f>
        <v>#VALUE!</v>
      </c>
      <c r="R13" s="169" t="e">
        <f t="shared" ca="1" si="17"/>
        <v>#VALUE!</v>
      </c>
      <c r="S13" s="169" t="e">
        <f t="shared" ca="1" si="17"/>
        <v>#VALUE!</v>
      </c>
      <c r="T13" s="169" t="e">
        <f t="shared" ca="1" si="17"/>
        <v>#VALUE!</v>
      </c>
      <c r="U13" s="169" t="e">
        <f t="shared" ca="1" si="17"/>
        <v>#VALUE!</v>
      </c>
      <c r="V13" s="169" t="e">
        <f t="shared" ca="1" si="17"/>
        <v>#VALUE!</v>
      </c>
      <c r="W13" s="207" t="e">
        <f t="shared" ca="1" si="17"/>
        <v>#VALUE!</v>
      </c>
      <c r="X13" s="199" t="e">
        <f ca="1">IF($B13,ROUND(X12*$N11,2),ROUND(SUMIF(OFFSET($B13,1,0,$D13),TRUE,OFFSET(X13,1,0,$D13))/SUMIF(OFFSET($B13,1,0,$D13),TRUE,OFFSET($K13,1,0,$D13))*$N11,2))</f>
        <v>#VALUE!</v>
      </c>
      <c r="Y13" s="169" t="e">
        <f t="shared" ref="Y13:AE13" ca="1" si="18">IF($B13,ROUND(Y12*$N11,2),ROUND(SUMIF(OFFSET($B13,1,0,$D13),TRUE,OFFSET(Y13,1,0,$D13))/SUMIF(OFFSET($B13,1,0,$D13),TRUE,OFFSET($K13,1,0,$D13))*$N11,2))</f>
        <v>#VALUE!</v>
      </c>
      <c r="Z13" s="169" t="e">
        <f t="shared" ca="1" si="18"/>
        <v>#VALUE!</v>
      </c>
      <c r="AA13" s="169" t="e">
        <f t="shared" ca="1" si="18"/>
        <v>#VALUE!</v>
      </c>
      <c r="AB13" s="169" t="e">
        <f t="shared" ca="1" si="18"/>
        <v>#VALUE!</v>
      </c>
      <c r="AC13" s="169" t="e">
        <f t="shared" ca="1" si="18"/>
        <v>#VALUE!</v>
      </c>
      <c r="AD13" s="169" t="e">
        <f t="shared" ca="1" si="18"/>
        <v>#VALUE!</v>
      </c>
      <c r="AE13" s="207" t="e">
        <f t="shared" ca="1" si="18"/>
        <v>#VALUE!</v>
      </c>
      <c r="AF13" s="196"/>
      <c r="AK13" s="169" t="e">
        <f ca="1">IF($B13,ROUND(AK12*$N11,2),ROUND(SUMIF(OFFSET($B13,1,0,$D13),TRUE,OFFSET(AK13,1,0,$D13))/SUMIF(OFFSET($B13,1,0,$D13),TRUE,OFFSET($K13,1,0,$D13))*$N11,2))</f>
        <v>#VALUE!</v>
      </c>
    </row>
    <row r="14" spans="1:37" s="44" customFormat="1" ht="12.75" customHeight="1" x14ac:dyDescent="0.2">
      <c r="A14" s="1"/>
      <c r="B14" s="1"/>
      <c r="C14" s="1"/>
      <c r="D14" s="1"/>
      <c r="E14" s="1"/>
      <c r="F14" s="1"/>
      <c r="G14" s="1"/>
      <c r="H14" s="1"/>
      <c r="I14" s="1"/>
      <c r="J14" s="1"/>
      <c r="K14" s="1"/>
      <c r="L14" s="385" t="s">
        <v>19</v>
      </c>
      <c r="M14" s="386"/>
      <c r="N14" s="391">
        <f ca="1">IF(PO!$T$12=0,10^-12,PO!$T$12)</f>
        <v>9.9999999999999998E-13</v>
      </c>
      <c r="O14" s="167" t="s">
        <v>143</v>
      </c>
      <c r="P14" s="205">
        <f ca="1">ROUND(P15/$N14,4)</f>
        <v>0</v>
      </c>
      <c r="Q14" s="206">
        <f t="shared" ref="Q14:AE14" ca="1" si="19">ROUND(Q15/$N14,4)</f>
        <v>0</v>
      </c>
      <c r="R14" s="206">
        <f t="shared" ca="1" si="19"/>
        <v>0</v>
      </c>
      <c r="S14" s="206">
        <f t="shared" ca="1" si="19"/>
        <v>0</v>
      </c>
      <c r="T14" s="206">
        <f t="shared" ca="1" si="19"/>
        <v>0</v>
      </c>
      <c r="U14" s="206">
        <f t="shared" ca="1" si="19"/>
        <v>0</v>
      </c>
      <c r="V14" s="206">
        <f t="shared" ca="1" si="19"/>
        <v>0</v>
      </c>
      <c r="W14" s="206">
        <f t="shared" ca="1" si="19"/>
        <v>0</v>
      </c>
      <c r="X14" s="205">
        <f ca="1">ROUND(X15/$N14,4)</f>
        <v>0</v>
      </c>
      <c r="Y14" s="206">
        <f t="shared" ca="1" si="19"/>
        <v>0</v>
      </c>
      <c r="Z14" s="206">
        <f t="shared" ca="1" si="19"/>
        <v>0</v>
      </c>
      <c r="AA14" s="206">
        <f t="shared" ca="1" si="19"/>
        <v>0</v>
      </c>
      <c r="AB14" s="206">
        <f t="shared" ca="1" si="19"/>
        <v>0</v>
      </c>
      <c r="AC14" s="206">
        <f t="shared" ca="1" si="19"/>
        <v>0</v>
      </c>
      <c r="AD14" s="206">
        <f t="shared" ca="1" si="19"/>
        <v>0</v>
      </c>
      <c r="AE14" s="206">
        <f t="shared" ca="1" si="19"/>
        <v>0</v>
      </c>
      <c r="AF14" s="171"/>
      <c r="AK14" s="206">
        <f ca="1">ROUND(AK15/$N14,4)</f>
        <v>0</v>
      </c>
    </row>
    <row r="15" spans="1:37" s="44" customFormat="1" ht="12.75" customHeight="1" x14ac:dyDescent="0.2">
      <c r="A15" s="1"/>
      <c r="B15" s="1"/>
      <c r="C15" s="1"/>
      <c r="D15" s="1"/>
      <c r="E15" s="1"/>
      <c r="F15" s="1"/>
      <c r="G15" s="1"/>
      <c r="H15" s="1"/>
      <c r="I15" s="1"/>
      <c r="J15" s="1"/>
      <c r="K15" s="1"/>
      <c r="L15" s="387"/>
      <c r="M15" s="388"/>
      <c r="N15" s="392"/>
      <c r="O15" s="156" t="s">
        <v>144</v>
      </c>
      <c r="P15" s="200">
        <f ca="1">P17-IF(ISNUMBER(O17),O17,0)</f>
        <v>0</v>
      </c>
      <c r="Q15" s="150">
        <f t="shared" ref="Q15:W15" ca="1" si="20">Q17-IF(ISNUMBER(P17),P17,0)</f>
        <v>0</v>
      </c>
      <c r="R15" s="150">
        <f t="shared" ca="1" si="20"/>
        <v>0</v>
      </c>
      <c r="S15" s="150">
        <f t="shared" ca="1" si="20"/>
        <v>0</v>
      </c>
      <c r="T15" s="150">
        <f t="shared" ca="1" si="20"/>
        <v>0</v>
      </c>
      <c r="U15" s="150">
        <f t="shared" ca="1" si="20"/>
        <v>0</v>
      </c>
      <c r="V15" s="150">
        <f t="shared" ca="1" si="20"/>
        <v>0</v>
      </c>
      <c r="W15" s="150">
        <f t="shared" ca="1" si="20"/>
        <v>0</v>
      </c>
      <c r="X15" s="200">
        <f ca="1">X17-IF(ISNUMBER(W17),W17,0)</f>
        <v>0</v>
      </c>
      <c r="Y15" s="150">
        <f t="shared" ref="Y15" ca="1" si="21">Y17-IF(ISNUMBER(X17),X17,0)</f>
        <v>0</v>
      </c>
      <c r="Z15" s="150">
        <f t="shared" ref="Z15" ca="1" si="22">Z17-IF(ISNUMBER(Y17),Y17,0)</f>
        <v>0</v>
      </c>
      <c r="AA15" s="150">
        <f t="shared" ref="AA15" ca="1" si="23">AA17-IF(ISNUMBER(Z17),Z17,0)</f>
        <v>0</v>
      </c>
      <c r="AB15" s="150">
        <f t="shared" ref="AB15" ca="1" si="24">AB17-IF(ISNUMBER(AA17),AA17,0)</f>
        <v>0</v>
      </c>
      <c r="AC15" s="150">
        <f t="shared" ref="AC15" ca="1" si="25">AC17-IF(ISNUMBER(AB17),AB17,0)</f>
        <v>0</v>
      </c>
      <c r="AD15" s="150">
        <f t="shared" ref="AD15" ca="1" si="26">AD17-IF(ISNUMBER(AC17),AC17,0)</f>
        <v>0</v>
      </c>
      <c r="AE15" s="150">
        <f t="shared" ref="AE15" ca="1" si="27">AE17-IF(ISNUMBER(AD17),AD17,0)</f>
        <v>0</v>
      </c>
      <c r="AF15" s="171"/>
      <c r="AK15" s="150">
        <f ca="1">AK17-IF(ISNUMBER(AJ17),AJ17,0)</f>
        <v>0</v>
      </c>
    </row>
    <row r="16" spans="1:37" s="44" customFormat="1" ht="12.75" customHeight="1" x14ac:dyDescent="0.2">
      <c r="A16" s="1"/>
      <c r="B16" s="1"/>
      <c r="C16" s="1"/>
      <c r="D16" s="1"/>
      <c r="E16" s="1"/>
      <c r="F16" s="1"/>
      <c r="G16" s="1"/>
      <c r="H16" s="1"/>
      <c r="I16" s="1"/>
      <c r="J16" s="1"/>
      <c r="K16" s="1"/>
      <c r="L16" s="387"/>
      <c r="M16" s="388"/>
      <c r="N16" s="392"/>
      <c r="O16" s="157" t="s">
        <v>145</v>
      </c>
      <c r="P16" s="201">
        <f ca="1">ROUND(P17/$N14,4)</f>
        <v>0</v>
      </c>
      <c r="Q16" s="151">
        <f t="shared" ref="Q16:W16" ca="1" si="28">ROUND(Q17/$N14,4)</f>
        <v>0</v>
      </c>
      <c r="R16" s="151">
        <f t="shared" ca="1" si="28"/>
        <v>0</v>
      </c>
      <c r="S16" s="151">
        <f t="shared" ca="1" si="28"/>
        <v>0</v>
      </c>
      <c r="T16" s="151">
        <f t="shared" ca="1" si="28"/>
        <v>0</v>
      </c>
      <c r="U16" s="151">
        <f t="shared" ca="1" si="28"/>
        <v>0</v>
      </c>
      <c r="V16" s="151">
        <f t="shared" ca="1" si="28"/>
        <v>0</v>
      </c>
      <c r="W16" s="151">
        <f t="shared" ca="1" si="28"/>
        <v>0</v>
      </c>
      <c r="X16" s="201">
        <f ca="1">ROUND(X17/$N14,4)</f>
        <v>0</v>
      </c>
      <c r="Y16" s="151">
        <f t="shared" ref="Y16:AE16" ca="1" si="29">ROUND(Y17/$N14,4)</f>
        <v>0</v>
      </c>
      <c r="Z16" s="151">
        <f t="shared" ca="1" si="29"/>
        <v>0</v>
      </c>
      <c r="AA16" s="151">
        <f t="shared" ca="1" si="29"/>
        <v>0</v>
      </c>
      <c r="AB16" s="151">
        <f t="shared" ca="1" si="29"/>
        <v>0</v>
      </c>
      <c r="AC16" s="151">
        <f t="shared" ca="1" si="29"/>
        <v>0</v>
      </c>
      <c r="AD16" s="151">
        <f t="shared" ca="1" si="29"/>
        <v>0</v>
      </c>
      <c r="AE16" s="151">
        <f t="shared" ca="1" si="29"/>
        <v>0</v>
      </c>
      <c r="AF16" s="171"/>
      <c r="AK16" s="151">
        <f ca="1">ROUND(AK17/$N14,4)</f>
        <v>0</v>
      </c>
    </row>
    <row r="17" spans="1:37" s="44" customFormat="1" ht="12.75" customHeight="1" x14ac:dyDescent="0.2">
      <c r="A17" s="114">
        <v>0</v>
      </c>
      <c r="B17" s="1"/>
      <c r="C17" s="1"/>
      <c r="D17" s="114">
        <f>ROW(D$75)-ROW(D18)</f>
        <v>57</v>
      </c>
      <c r="E17" s="1"/>
      <c r="F17" s="1"/>
      <c r="G17" s="1"/>
      <c r="H17" s="1"/>
      <c r="I17" s="1"/>
      <c r="J17" s="1"/>
      <c r="K17" s="1"/>
      <c r="L17" s="389"/>
      <c r="M17" s="390"/>
      <c r="N17" s="393"/>
      <c r="O17" s="158" t="s">
        <v>20</v>
      </c>
      <c r="P17" s="202">
        <f ca="1">SUMIF(OFFSET($C17,1,0):$C$75,1,OFFSET(P17,1,0):P$75)</f>
        <v>0</v>
      </c>
      <c r="Q17" s="152">
        <f ca="1">SUMIF(OFFSET($C17,1,0):$C$75,1,OFFSET(Q17,1,0):Q$75)</f>
        <v>0</v>
      </c>
      <c r="R17" s="152">
        <f ca="1">SUMIF(OFFSET($C17,1,0):$C$75,1,OFFSET(R17,1,0):R$75)</f>
        <v>0</v>
      </c>
      <c r="S17" s="152">
        <f ca="1">SUMIF(OFFSET($C17,1,0):$C$75,1,OFFSET(S17,1,0):S$75)</f>
        <v>0</v>
      </c>
      <c r="T17" s="152">
        <f ca="1">SUMIF(OFFSET($C17,1,0):$C$75,1,OFFSET(T17,1,0):T$75)</f>
        <v>0</v>
      </c>
      <c r="U17" s="152">
        <f ca="1">SUMIF(OFFSET($C17,1,0):$C$75,1,OFFSET(U17,1,0):U$75)</f>
        <v>0</v>
      </c>
      <c r="V17" s="152">
        <f ca="1">SUMIF(OFFSET($C17,1,0):$C$75,1,OFFSET(V17,1,0):V$75)</f>
        <v>0</v>
      </c>
      <c r="W17" s="152">
        <f ca="1">SUMIF(OFFSET($C17,1,0):$C$75,1,OFFSET(W17,1,0):W$75)</f>
        <v>0</v>
      </c>
      <c r="X17" s="202">
        <f ca="1">SUMIF(OFFSET($C17,1,0):$C$75,1,OFFSET(X17,1,0):X$75)</f>
        <v>0</v>
      </c>
      <c r="Y17" s="152">
        <f ca="1">SUMIF(OFFSET($C17,1,0):$C$75,1,OFFSET(Y17,1,0):Y$75)</f>
        <v>0</v>
      </c>
      <c r="Z17" s="152">
        <f ca="1">SUMIF(OFFSET($C17,1,0):$C$75,1,OFFSET(Z17,1,0):Z$75)</f>
        <v>0</v>
      </c>
      <c r="AA17" s="152">
        <f ca="1">SUMIF(OFFSET($C17,1,0):$C$75,1,OFFSET(AA17,1,0):AA$75)</f>
        <v>0</v>
      </c>
      <c r="AB17" s="152">
        <f ca="1">SUMIF(OFFSET($C17,1,0):$C$75,1,OFFSET(AB17,1,0):AB$75)</f>
        <v>0</v>
      </c>
      <c r="AC17" s="152">
        <f ca="1">SUMIF(OFFSET($C17,1,0):$C$75,1,OFFSET(AC17,1,0):AC$75)</f>
        <v>0</v>
      </c>
      <c r="AD17" s="152">
        <f ca="1">SUMIF(OFFSET($C17,1,0):$C$75,1,OFFSET(AD17,1,0):AD$75)</f>
        <v>0</v>
      </c>
      <c r="AE17" s="152">
        <f ca="1">SUMIF(OFFSET($C17,1,0):$C$75,1,OFFSET(AE17,1,0):AE$75)</f>
        <v>0</v>
      </c>
      <c r="AF17" s="171"/>
      <c r="AK17" s="152">
        <f ca="1">SUMIF(OFFSET($C17,1,0):$C$75,1,OFFSET(AK17,1,0):AK$75)</f>
        <v>0</v>
      </c>
    </row>
    <row r="18" spans="1:37" customFormat="1" ht="14.25" customHeight="1" x14ac:dyDescent="0.2">
      <c r="A18" s="1"/>
      <c r="B18" s="1"/>
      <c r="C18" s="1"/>
      <c r="D18" s="1"/>
      <c r="E18" s="1"/>
      <c r="F18" s="1"/>
      <c r="G18" s="1"/>
      <c r="H18" s="1"/>
      <c r="I18" s="1"/>
      <c r="J18" s="1"/>
      <c r="K18" s="1"/>
      <c r="L18" s="374" t="str">
        <f ca="1">INDEX(PO!K$12:K$227,MATCH($A20,PO!$V$12:$V$227,0))</f>
        <v>1.</v>
      </c>
      <c r="M18" s="376" t="str">
        <f ca="1">INDEX(PO!N$12:N$227,MATCH($A20,PO!$V$12:$V$227,0))</f>
        <v xml:space="preserve">Construção de escola no Distrito de São Pedro da Ponte Firme </v>
      </c>
      <c r="N18" s="378">
        <f ca="1">IF(ROUND(K20,2)=0,K20,ROUND(K20,2))</f>
        <v>9.9999999999999998E-13</v>
      </c>
      <c r="O18" s="203" t="s">
        <v>143</v>
      </c>
      <c r="P18" s="225">
        <f t="shared" ref="P18:AE18" ca="1" si="30">IF($B20,0,P19-IF(ISNUMBER(O19),O19,0))</f>
        <v>0</v>
      </c>
      <c r="Q18" s="226">
        <f t="shared" ca="1" si="30"/>
        <v>0</v>
      </c>
      <c r="R18" s="226">
        <f t="shared" ca="1" si="30"/>
        <v>0</v>
      </c>
      <c r="S18" s="226">
        <f t="shared" ca="1" si="30"/>
        <v>0</v>
      </c>
      <c r="T18" s="226">
        <f t="shared" ca="1" si="30"/>
        <v>0</v>
      </c>
      <c r="U18" s="226">
        <f t="shared" ca="1" si="30"/>
        <v>0</v>
      </c>
      <c r="V18" s="226">
        <f t="shared" ca="1" si="30"/>
        <v>0</v>
      </c>
      <c r="W18" s="227">
        <f t="shared" ca="1" si="30"/>
        <v>0</v>
      </c>
      <c r="X18" s="225">
        <f t="shared" ca="1" si="30"/>
        <v>0</v>
      </c>
      <c r="Y18" s="226">
        <f t="shared" ca="1" si="30"/>
        <v>0</v>
      </c>
      <c r="Z18" s="226">
        <f t="shared" ca="1" si="30"/>
        <v>0</v>
      </c>
      <c r="AA18" s="226">
        <f t="shared" ca="1" si="30"/>
        <v>0</v>
      </c>
      <c r="AB18" s="226">
        <f t="shared" ca="1" si="30"/>
        <v>0</v>
      </c>
      <c r="AC18" s="226">
        <f t="shared" ca="1" si="30"/>
        <v>0</v>
      </c>
      <c r="AD18" s="226">
        <f t="shared" ca="1" si="30"/>
        <v>0</v>
      </c>
      <c r="AE18" s="227">
        <f t="shared" ca="1" si="30"/>
        <v>0</v>
      </c>
      <c r="AF18" s="197" t="s">
        <v>106</v>
      </c>
      <c r="AK18" s="221">
        <f ca="1">IF($B20,0,AK19-IF(ISNUMBER(AJ19),AJ19,0))</f>
        <v>0</v>
      </c>
    </row>
    <row r="19" spans="1:37" customFormat="1" ht="14.25" x14ac:dyDescent="0.2">
      <c r="A19" s="1"/>
      <c r="B19" s="1"/>
      <c r="C19" s="1"/>
      <c r="D19" s="1"/>
      <c r="E19" s="1"/>
      <c r="F19" s="1"/>
      <c r="G19" s="1"/>
      <c r="H19" s="1"/>
      <c r="I19" s="1"/>
      <c r="J19" s="1"/>
      <c r="K19" s="1"/>
      <c r="L19" s="375"/>
      <c r="M19" s="377"/>
      <c r="N19" s="379"/>
      <c r="O19" s="170" t="s">
        <v>145</v>
      </c>
      <c r="P19" s="198">
        <f t="shared" ref="P19:AE19" ca="1" si="31">MIN(IF($B20,P18+IF(ISNUMBER(O19),O19,0),P20/$N18),1)</f>
        <v>0</v>
      </c>
      <c r="Q19" s="168">
        <f t="shared" ca="1" si="31"/>
        <v>0</v>
      </c>
      <c r="R19" s="168">
        <f t="shared" ca="1" si="31"/>
        <v>0</v>
      </c>
      <c r="S19" s="168">
        <f t="shared" ca="1" si="31"/>
        <v>0</v>
      </c>
      <c r="T19" s="168">
        <f t="shared" ca="1" si="31"/>
        <v>0</v>
      </c>
      <c r="U19" s="168">
        <f t="shared" ca="1" si="31"/>
        <v>0</v>
      </c>
      <c r="V19" s="168">
        <f t="shared" ca="1" si="31"/>
        <v>0</v>
      </c>
      <c r="W19" s="168">
        <f t="shared" ca="1" si="31"/>
        <v>0</v>
      </c>
      <c r="X19" s="198">
        <f t="shared" ca="1" si="31"/>
        <v>0</v>
      </c>
      <c r="Y19" s="168">
        <f t="shared" ca="1" si="31"/>
        <v>0</v>
      </c>
      <c r="Z19" s="168">
        <f t="shared" ca="1" si="31"/>
        <v>0</v>
      </c>
      <c r="AA19" s="168">
        <f t="shared" ca="1" si="31"/>
        <v>0</v>
      </c>
      <c r="AB19" s="168">
        <f t="shared" ca="1" si="31"/>
        <v>0</v>
      </c>
      <c r="AC19" s="168">
        <f t="shared" ca="1" si="31"/>
        <v>0</v>
      </c>
      <c r="AD19" s="168">
        <f t="shared" ca="1" si="31"/>
        <v>0</v>
      </c>
      <c r="AE19" s="168">
        <f t="shared" ca="1" si="31"/>
        <v>0</v>
      </c>
      <c r="AF19" s="196"/>
      <c r="AK19" s="168">
        <f ca="1">MIN(IF($B20,AK18+IF(ISNUMBER(AJ19),AJ19,0),AK20/$N18),1)</f>
        <v>0</v>
      </c>
    </row>
    <row r="20" spans="1:37" customFormat="1" ht="14.25" x14ac:dyDescent="0.2">
      <c r="A20" s="114">
        <f ca="1">OFFSET(A20,-CFF.NumLinha,0)+1</f>
        <v>1</v>
      </c>
      <c r="B20" s="1" t="b">
        <f ca="1">$C20&gt;=OFFSET($C20,CFF.NumLinha,0)</f>
        <v>0</v>
      </c>
      <c r="C20" s="184">
        <f ca="1">INDEX(PO!A$12:A$227,MATCH($A20,PO!$V$12:$V$227,0))</f>
        <v>1</v>
      </c>
      <c r="D20" s="184">
        <f ca="1">IF(ISERROR(J20),I20,SMALL(I20:J20,1))-1</f>
        <v>54</v>
      </c>
      <c r="E20" s="184">
        <f ca="1">IF($C20=1,OFFSET(E20,-CFF.NumLinha,0)+1,OFFSET(E20,-CFF.NumLinha,0))</f>
        <v>1</v>
      </c>
      <c r="F20" s="184">
        <f ca="1">IF($C20=1,0,IF($C20=2,OFFSET(F20,-CFF.NumLinha,0)+1,OFFSET(F20,-CFF.NumLinha,0)))</f>
        <v>0</v>
      </c>
      <c r="G20" s="184">
        <f ca="1">IF(AND($C20&lt;=2,$C20&lt;&gt;0),0,IF($C20=3,OFFSET(G20,-CFF.NumLinha,0)+1,OFFSET(G20,-CFF.NumLinha,0)))</f>
        <v>0</v>
      </c>
      <c r="H20" s="184">
        <f ca="1">IF(AND($C20&lt;=3,$C20&lt;&gt;0),0,IF($C20=4,OFFSET(H20,-CFF.NumLinha,0)+1,OFFSET(H20,-CFF.NumLinha,0)))</f>
        <v>0</v>
      </c>
      <c r="I20" s="184">
        <f ca="1">MATCH(0,OFFSET($D20,1,$C20,ROW($A$75)-ROW($A20)),0)</f>
        <v>55</v>
      </c>
      <c r="J20" s="184" t="e">
        <f ca="1">MATCH(OFFSET($D20,0,$C20)+1,OFFSET($D20,1,$C20,ROW($A$75)-ROW($A20)),0)</f>
        <v>#N/A</v>
      </c>
      <c r="K20" s="185">
        <f ca="1">ROUND(INDEX(PO!T$12:T$227,MATCH($A20,PO!$V$12:$V$227,0)),2)+10^-12</f>
        <v>9.9999999999999998E-13</v>
      </c>
      <c r="L20" s="375"/>
      <c r="M20" s="377"/>
      <c r="N20" s="379"/>
      <c r="O20" s="204" t="s">
        <v>20</v>
      </c>
      <c r="P20" s="199">
        <f t="shared" ref="P20:AE20" ca="1" si="32">IF($B20,ROUND(P19*$N18,2),ROUND(SUMIF(OFFSET($B20,1,0,$D20),TRUE,OFFSET(P20,1,0,$D20))/SUMIF(OFFSET($B20,1,0,$D20),TRUE,OFFSET($K20,1,0,$D20))*$N18,2))</f>
        <v>0</v>
      </c>
      <c r="Q20" s="169">
        <f t="shared" ca="1" si="32"/>
        <v>0</v>
      </c>
      <c r="R20" s="169">
        <f t="shared" ca="1" si="32"/>
        <v>0</v>
      </c>
      <c r="S20" s="169">
        <f t="shared" ca="1" si="32"/>
        <v>0</v>
      </c>
      <c r="T20" s="169">
        <f t="shared" ca="1" si="32"/>
        <v>0</v>
      </c>
      <c r="U20" s="169">
        <f t="shared" ca="1" si="32"/>
        <v>0</v>
      </c>
      <c r="V20" s="169">
        <f t="shared" ca="1" si="32"/>
        <v>0</v>
      </c>
      <c r="W20" s="207">
        <f t="shared" ca="1" si="32"/>
        <v>0</v>
      </c>
      <c r="X20" s="199">
        <f t="shared" ca="1" si="32"/>
        <v>0</v>
      </c>
      <c r="Y20" s="169">
        <f t="shared" ca="1" si="32"/>
        <v>0</v>
      </c>
      <c r="Z20" s="169">
        <f t="shared" ca="1" si="32"/>
        <v>0</v>
      </c>
      <c r="AA20" s="169">
        <f t="shared" ca="1" si="32"/>
        <v>0</v>
      </c>
      <c r="AB20" s="169">
        <f t="shared" ca="1" si="32"/>
        <v>0</v>
      </c>
      <c r="AC20" s="169">
        <f t="shared" ca="1" si="32"/>
        <v>0</v>
      </c>
      <c r="AD20" s="169">
        <f t="shared" ca="1" si="32"/>
        <v>0</v>
      </c>
      <c r="AE20" s="207">
        <f t="shared" ca="1" si="32"/>
        <v>0</v>
      </c>
      <c r="AF20" s="196"/>
      <c r="AK20" s="169">
        <f ca="1">IF($B20,ROUND(AK19*$N18,2),ROUND(SUMIF(OFFSET($B20,1,0,$D20),TRUE,OFFSET(AK20,1,0,$D20))/SUMIF(OFFSET($B20,1,0,$D20),TRUE,OFFSET($K20,1,0,$D20))*$N18,2))</f>
        <v>0</v>
      </c>
    </row>
    <row r="21" spans="1:37" customFormat="1" ht="14.25" customHeight="1" x14ac:dyDescent="0.2">
      <c r="A21" s="82"/>
      <c r="B21" s="82"/>
      <c r="C21" s="82"/>
      <c r="D21" s="82"/>
      <c r="E21" s="82"/>
      <c r="F21" s="82"/>
      <c r="G21" s="82"/>
      <c r="H21" s="82"/>
      <c r="I21" s="82"/>
      <c r="J21" s="82"/>
      <c r="K21" s="82"/>
      <c r="L21" s="374" t="str">
        <f ca="1">INDEX(PO!K$12:K$227,MATCH($A23,PO!$V$12:$V$227,0))</f>
        <v>1.1.</v>
      </c>
      <c r="M21" s="376" t="str">
        <f ca="1">INDEX(PO!N$12:N$227,MATCH($A23,PO!$V$12:$V$227,0))</f>
        <v>ADMINISTRAÇÃO LOCAL</v>
      </c>
      <c r="N21" s="378">
        <f t="shared" ref="N21" ca="1" si="33">IF(ROUND(K23,2)=0,K23,ROUND(K23,2))</f>
        <v>9.9999999999999998E-13</v>
      </c>
      <c r="O21" s="220" t="s">
        <v>143</v>
      </c>
      <c r="P21" s="225">
        <v>1</v>
      </c>
      <c r="Q21" s="226">
        <f t="shared" ref="Q21" ca="1" si="34">IF($B23,0,Q22-IF(ISNUMBER(P22),P22,0))</f>
        <v>0</v>
      </c>
      <c r="R21" s="226">
        <f t="shared" ref="R21" ca="1" si="35">IF($B23,0,R22-IF(ISNUMBER(Q22),Q22,0))</f>
        <v>0</v>
      </c>
      <c r="S21" s="226">
        <f t="shared" ref="S21" ca="1" si="36">IF($B23,0,S22-IF(ISNUMBER(R22),R22,0))</f>
        <v>0</v>
      </c>
      <c r="T21" s="226">
        <f t="shared" ref="T21" ca="1" si="37">IF($B23,0,T22-IF(ISNUMBER(S22),S22,0))</f>
        <v>0</v>
      </c>
      <c r="U21" s="226">
        <f t="shared" ref="U21" ca="1" si="38">IF($B23,0,U22-IF(ISNUMBER(T22),T22,0))</f>
        <v>0</v>
      </c>
      <c r="V21" s="226">
        <f t="shared" ref="V21" ca="1" si="39">IF($B23,0,V22-IF(ISNUMBER(U22),U22,0))</f>
        <v>0</v>
      </c>
      <c r="W21" s="227">
        <f t="shared" ref="W21" ca="1" si="40">IF($B23,0,W22-IF(ISNUMBER(V22),V22,0))</f>
        <v>0</v>
      </c>
      <c r="X21" s="225">
        <f t="shared" ref="X21" ca="1" si="41">IF($B23,0,X22-IF(ISNUMBER(W22),W22,0))</f>
        <v>0</v>
      </c>
      <c r="Y21" s="226">
        <f t="shared" ref="Y21" ca="1" si="42">IF($B23,0,Y22-IF(ISNUMBER(X22),X22,0))</f>
        <v>0</v>
      </c>
      <c r="Z21" s="226">
        <f t="shared" ref="Z21" ca="1" si="43">IF($B23,0,Z22-IF(ISNUMBER(Y22),Y22,0))</f>
        <v>0</v>
      </c>
      <c r="AA21" s="226">
        <f t="shared" ref="AA21" ca="1" si="44">IF($B23,0,AA22-IF(ISNUMBER(Z22),Z22,0))</f>
        <v>0</v>
      </c>
      <c r="AB21" s="226">
        <f t="shared" ref="AB21" ca="1" si="45">IF($B23,0,AB22-IF(ISNUMBER(AA22),AA22,0))</f>
        <v>0</v>
      </c>
      <c r="AC21" s="226">
        <f t="shared" ref="AC21" ca="1" si="46">IF($B23,0,AC22-IF(ISNUMBER(AB22),AB22,0))</f>
        <v>0</v>
      </c>
      <c r="AD21" s="226">
        <f t="shared" ref="AD21" ca="1" si="47">IF($B23,0,AD22-IF(ISNUMBER(AC22),AC22,0))</f>
        <v>0</v>
      </c>
      <c r="AE21" s="227">
        <f t="shared" ref="AE21" ca="1" si="48">IF($B23,0,AE22-IF(ISNUMBER(AD22),AD22,0))</f>
        <v>0</v>
      </c>
      <c r="AF21" s="196"/>
      <c r="AK21" s="221">
        <f t="shared" ref="AK21" ca="1" si="49">IF($B23,0,AK22-IF(ISNUMBER(AJ22),AJ22,0))</f>
        <v>0</v>
      </c>
    </row>
    <row r="22" spans="1:37" customFormat="1" ht="14.25" x14ac:dyDescent="0.2">
      <c r="A22" s="184"/>
      <c r="B22" s="184"/>
      <c r="C22" s="184"/>
      <c r="D22" s="184"/>
      <c r="E22" s="184"/>
      <c r="F22" s="184"/>
      <c r="G22" s="184"/>
      <c r="H22" s="184"/>
      <c r="I22" s="184"/>
      <c r="J22" s="184"/>
      <c r="K22" s="184"/>
      <c r="L22" s="375"/>
      <c r="M22" s="377"/>
      <c r="N22" s="379"/>
      <c r="O22" s="170" t="s">
        <v>145</v>
      </c>
      <c r="P22" s="198">
        <f t="shared" ref="P22" ca="1" si="50">MIN(IF($B23,P21+IF(ISNUMBER(O22),O22,0),P23/$N21),1)</f>
        <v>1</v>
      </c>
      <c r="Q22" s="168">
        <f t="shared" ref="Q22" ca="1" si="51">MIN(IF($B23,Q21+IF(ISNUMBER(P22),P22,0),Q23/$N21),1)</f>
        <v>1</v>
      </c>
      <c r="R22" s="168">
        <f t="shared" ref="R22" ca="1" si="52">MIN(IF($B23,R21+IF(ISNUMBER(Q22),Q22,0),R23/$N21),1)</f>
        <v>1</v>
      </c>
      <c r="S22" s="168">
        <f t="shared" ref="S22" ca="1" si="53">MIN(IF($B23,S21+IF(ISNUMBER(R22),R22,0),S23/$N21),1)</f>
        <v>1</v>
      </c>
      <c r="T22" s="168">
        <f t="shared" ref="T22" ca="1" si="54">MIN(IF($B23,T21+IF(ISNUMBER(S22),S22,0),T23/$N21),1)</f>
        <v>1</v>
      </c>
      <c r="U22" s="168">
        <f t="shared" ref="U22" ca="1" si="55">MIN(IF($B23,U21+IF(ISNUMBER(T22),T22,0),U23/$N21),1)</f>
        <v>1</v>
      </c>
      <c r="V22" s="168">
        <f t="shared" ref="V22" ca="1" si="56">MIN(IF($B23,V21+IF(ISNUMBER(U22),U22,0),V23/$N21),1)</f>
        <v>1</v>
      </c>
      <c r="W22" s="168">
        <f t="shared" ref="W22" ca="1" si="57">MIN(IF($B23,W21+IF(ISNUMBER(V22),V22,0),W23/$N21),1)</f>
        <v>1</v>
      </c>
      <c r="X22" s="198">
        <f t="shared" ref="X22" ca="1" si="58">MIN(IF($B23,X21+IF(ISNUMBER(W22),W22,0),X23/$N21),1)</f>
        <v>1</v>
      </c>
      <c r="Y22" s="168">
        <f t="shared" ref="Y22" ca="1" si="59">MIN(IF($B23,Y21+IF(ISNUMBER(X22),X22,0),Y23/$N21),1)</f>
        <v>1</v>
      </c>
      <c r="Z22" s="168">
        <f t="shared" ref="Z22" ca="1" si="60">MIN(IF($B23,Z21+IF(ISNUMBER(Y22),Y22,0),Z23/$N21),1)</f>
        <v>1</v>
      </c>
      <c r="AA22" s="168">
        <f t="shared" ref="AA22" ca="1" si="61">MIN(IF($B23,AA21+IF(ISNUMBER(Z22),Z22,0),AA23/$N21),1)</f>
        <v>1</v>
      </c>
      <c r="AB22" s="168">
        <f t="shared" ref="AB22" ca="1" si="62">MIN(IF($B23,AB21+IF(ISNUMBER(AA22),AA22,0),AB23/$N21),1)</f>
        <v>1</v>
      </c>
      <c r="AC22" s="168">
        <f t="shared" ref="AC22" ca="1" si="63">MIN(IF($B23,AC21+IF(ISNUMBER(AB22),AB22,0),AC23/$N21),1)</f>
        <v>1</v>
      </c>
      <c r="AD22" s="168">
        <f t="shared" ref="AD22" ca="1" si="64">MIN(IF($B23,AD21+IF(ISNUMBER(AC22),AC22,0),AD23/$N21),1)</f>
        <v>1</v>
      </c>
      <c r="AE22" s="168">
        <f t="shared" ref="AE22" ca="1" si="65">MIN(IF($B23,AE21+IF(ISNUMBER(AD22),AD22,0),AE23/$N21),1)</f>
        <v>1</v>
      </c>
      <c r="AF22" s="196"/>
      <c r="AK22" s="168">
        <f t="shared" ref="AK22" ca="1" si="66">MIN(IF($B23,AK21+IF(ISNUMBER(AJ22),AJ22,0),AK23/$N21),1)</f>
        <v>0</v>
      </c>
    </row>
    <row r="23" spans="1:37" customFormat="1" ht="14.25" x14ac:dyDescent="0.2">
      <c r="A23" s="184">
        <f ca="1">OFFSET(A23,-CFF.NumLinha,0)+1</f>
        <v>2</v>
      </c>
      <c r="B23" s="184" t="b">
        <f ca="1">$C23&gt;=OFFSET($C23,CFF.NumLinha,0)</f>
        <v>1</v>
      </c>
      <c r="C23" s="184">
        <f ca="1">INDEX(PO!A$12:A$227,MATCH($A23,PO!$V$12:$V$227,0))</f>
        <v>2</v>
      </c>
      <c r="D23" s="184">
        <f t="shared" ref="D23" ca="1" si="67">IF(ISERROR(J23),I23,SMALL(I23:J23,1))-1</f>
        <v>2</v>
      </c>
      <c r="E23" s="184">
        <f ca="1">IF($C23=1,OFFSET(E23,-CFF.NumLinha,0)+1,OFFSET(E23,-CFF.NumLinha,0))</f>
        <v>1</v>
      </c>
      <c r="F23" s="184">
        <f ca="1">IF($C23=1,0,IF($C23=2,OFFSET(F23,-CFF.NumLinha,0)+1,OFFSET(F23,-CFF.NumLinha,0)))</f>
        <v>1</v>
      </c>
      <c r="G23" s="184">
        <f ca="1">IF(AND($C23&lt;=2,$C23&lt;&gt;0),0,IF($C23=3,OFFSET(G23,-CFF.NumLinha,0)+1,OFFSET(G23,-CFF.NumLinha,0)))</f>
        <v>0</v>
      </c>
      <c r="H23" s="184">
        <f ca="1">IF(AND($C23&lt;=3,$C23&lt;&gt;0),0,IF($C23=4,OFFSET(H23,-CFF.NumLinha,0)+1,OFFSET(H23,-CFF.NumLinha,0)))</f>
        <v>0</v>
      </c>
      <c r="I23" s="184">
        <f t="shared" ref="I23" ca="1" si="68">MATCH(0,OFFSET($D23,1,$C23,ROW($A$75)-ROW($A23)),0)</f>
        <v>52</v>
      </c>
      <c r="J23" s="184">
        <f t="shared" ref="J23" ca="1" si="69">MATCH(OFFSET($D23,0,$C23)+1,OFFSET($D23,1,$C23,ROW($A$75)-ROW($A23)),0)</f>
        <v>3</v>
      </c>
      <c r="K23" s="185">
        <f ca="1">ROUND(INDEX(PO!T$12:T$227,MATCH($A23,PO!$V$12:$V$227,0)),2)+10^-12</f>
        <v>9.9999999999999998E-13</v>
      </c>
      <c r="L23" s="375"/>
      <c r="M23" s="377"/>
      <c r="N23" s="379"/>
      <c r="O23" s="204" t="s">
        <v>20</v>
      </c>
      <c r="P23" s="199">
        <f t="shared" ref="P23:W23" ca="1" si="70">IF($B23,ROUND(P22*$N21,2),ROUND(SUMIF(OFFSET($B23,1,0,$D23),TRUE,OFFSET(P23,1,0,$D23))/SUMIF(OFFSET($B23,1,0,$D23),TRUE,OFFSET($K23,1,0,$D23))*$N21,2))</f>
        <v>0</v>
      </c>
      <c r="Q23" s="169">
        <f t="shared" ca="1" si="70"/>
        <v>0</v>
      </c>
      <c r="R23" s="169">
        <f t="shared" ca="1" si="70"/>
        <v>0</v>
      </c>
      <c r="S23" s="169">
        <f t="shared" ca="1" si="70"/>
        <v>0</v>
      </c>
      <c r="T23" s="169">
        <f t="shared" ca="1" si="70"/>
        <v>0</v>
      </c>
      <c r="U23" s="169">
        <f t="shared" ca="1" si="70"/>
        <v>0</v>
      </c>
      <c r="V23" s="169">
        <f t="shared" ca="1" si="70"/>
        <v>0</v>
      </c>
      <c r="W23" s="207">
        <f t="shared" ca="1" si="70"/>
        <v>0</v>
      </c>
      <c r="X23" s="199">
        <f t="shared" ref="X23" ca="1" si="71">IF($B23,ROUND(X22*$N21,2),ROUND(SUMIF(OFFSET($B23,1,0,$D23),TRUE,OFFSET(X23,1,0,$D23))/SUMIF(OFFSET($B23,1,0,$D23),TRUE,OFFSET($K23,1,0,$D23))*$N21,2))</f>
        <v>0</v>
      </c>
      <c r="Y23" s="169">
        <f t="shared" ref="Y23" ca="1" si="72">IF($B23,ROUND(Y22*$N21,2),ROUND(SUMIF(OFFSET($B23,1,0,$D23),TRUE,OFFSET(Y23,1,0,$D23))/SUMIF(OFFSET($B23,1,0,$D23),TRUE,OFFSET($K23,1,0,$D23))*$N21,2))</f>
        <v>0</v>
      </c>
      <c r="Z23" s="169">
        <f t="shared" ref="Z23" ca="1" si="73">IF($B23,ROUND(Z22*$N21,2),ROUND(SUMIF(OFFSET($B23,1,0,$D23),TRUE,OFFSET(Z23,1,0,$D23))/SUMIF(OFFSET($B23,1,0,$D23),TRUE,OFFSET($K23,1,0,$D23))*$N21,2))</f>
        <v>0</v>
      </c>
      <c r="AA23" s="169">
        <f t="shared" ref="AA23" ca="1" si="74">IF($B23,ROUND(AA22*$N21,2),ROUND(SUMIF(OFFSET($B23,1,0,$D23),TRUE,OFFSET(AA23,1,0,$D23))/SUMIF(OFFSET($B23,1,0,$D23),TRUE,OFFSET($K23,1,0,$D23))*$N21,2))</f>
        <v>0</v>
      </c>
      <c r="AB23" s="169">
        <f t="shared" ref="AB23" ca="1" si="75">IF($B23,ROUND(AB22*$N21,2),ROUND(SUMIF(OFFSET($B23,1,0,$D23),TRUE,OFFSET(AB23,1,0,$D23))/SUMIF(OFFSET($B23,1,0,$D23),TRUE,OFFSET($K23,1,0,$D23))*$N21,2))</f>
        <v>0</v>
      </c>
      <c r="AC23" s="169">
        <f t="shared" ref="AC23" ca="1" si="76">IF($B23,ROUND(AC22*$N21,2),ROUND(SUMIF(OFFSET($B23,1,0,$D23),TRUE,OFFSET(AC23,1,0,$D23))/SUMIF(OFFSET($B23,1,0,$D23),TRUE,OFFSET($K23,1,0,$D23))*$N21,2))</f>
        <v>0</v>
      </c>
      <c r="AD23" s="169">
        <f t="shared" ref="AD23" ca="1" si="77">IF($B23,ROUND(AD22*$N21,2),ROUND(SUMIF(OFFSET($B23,1,0,$D23),TRUE,OFFSET(AD23,1,0,$D23))/SUMIF(OFFSET($B23,1,0,$D23),TRUE,OFFSET($K23,1,0,$D23))*$N21,2))</f>
        <v>0</v>
      </c>
      <c r="AE23" s="207">
        <f t="shared" ref="AE23" ca="1" si="78">IF($B23,ROUND(AE22*$N21,2),ROUND(SUMIF(OFFSET($B23,1,0,$D23),TRUE,OFFSET(AE23,1,0,$D23))/SUMIF(OFFSET($B23,1,0,$D23),TRUE,OFFSET($K23,1,0,$D23))*$N21,2))</f>
        <v>0</v>
      </c>
      <c r="AF23" s="196"/>
      <c r="AK23" s="169">
        <f t="shared" ref="AK23" ca="1" si="79">IF($B23,ROUND(AK22*$N21,2),ROUND(SUMIF(OFFSET($B23,1,0,$D23),TRUE,OFFSET(AK23,1,0,$D23))/SUMIF(OFFSET($B23,1,0,$D23),TRUE,OFFSET($K23,1,0,$D23))*$N21,2))</f>
        <v>0</v>
      </c>
    </row>
    <row r="24" spans="1:37" customFormat="1" ht="14.25" customHeight="1" x14ac:dyDescent="0.2">
      <c r="A24" s="82"/>
      <c r="B24" s="82"/>
      <c r="C24" s="82"/>
      <c r="D24" s="82"/>
      <c r="E24" s="82"/>
      <c r="F24" s="82"/>
      <c r="G24" s="82"/>
      <c r="H24" s="82"/>
      <c r="I24" s="82"/>
      <c r="J24" s="82"/>
      <c r="K24" s="82"/>
      <c r="L24" s="374" t="str">
        <f ca="1">INDEX(PO!K$12:K$227,MATCH($A26,PO!$V$12:$V$227,0))</f>
        <v>1.2.</v>
      </c>
      <c r="M24" s="376" t="str">
        <f ca="1">INDEX(PO!N$12:N$227,MATCH($A26,PO!$V$12:$V$227,0))</f>
        <v>SERVIÇOS PRELIMINARES</v>
      </c>
      <c r="N24" s="378">
        <f t="shared" ref="N24" ca="1" si="80">IF(ROUND(K26,2)=0,K26,ROUND(K26,2))</f>
        <v>9.9999999999999998E-13</v>
      </c>
      <c r="O24" s="220" t="s">
        <v>143</v>
      </c>
      <c r="P24" s="225">
        <v>0.5</v>
      </c>
      <c r="Q24" s="226">
        <v>0.5</v>
      </c>
      <c r="R24" s="226">
        <f t="shared" ref="R24" ca="1" si="81">IF($B26,0,R25-IF(ISNUMBER(Q25),Q25,0))</f>
        <v>0</v>
      </c>
      <c r="S24" s="226">
        <f t="shared" ref="S24" ca="1" si="82">IF($B26,0,S25-IF(ISNUMBER(R25),R25,0))</f>
        <v>0</v>
      </c>
      <c r="T24" s="226">
        <f t="shared" ref="T24" ca="1" si="83">IF($B26,0,T25-IF(ISNUMBER(S25),S25,0))</f>
        <v>0</v>
      </c>
      <c r="U24" s="226">
        <f t="shared" ref="U24" ca="1" si="84">IF($B26,0,U25-IF(ISNUMBER(T25),T25,0))</f>
        <v>0</v>
      </c>
      <c r="V24" s="226">
        <f t="shared" ref="V24" ca="1" si="85">IF($B26,0,V25-IF(ISNUMBER(U25),U25,0))</f>
        <v>0</v>
      </c>
      <c r="W24" s="227">
        <f t="shared" ref="W24" ca="1" si="86">IF($B26,0,W25-IF(ISNUMBER(V25),V25,0))</f>
        <v>0</v>
      </c>
      <c r="X24" s="225">
        <f t="shared" ref="X24" ca="1" si="87">IF($B26,0,X25-IF(ISNUMBER(W25),W25,0))</f>
        <v>0</v>
      </c>
      <c r="Y24" s="226">
        <f t="shared" ref="Y24" ca="1" si="88">IF($B26,0,Y25-IF(ISNUMBER(X25),X25,0))</f>
        <v>0</v>
      </c>
      <c r="Z24" s="226">
        <f t="shared" ref="Z24" ca="1" si="89">IF($B26,0,Z25-IF(ISNUMBER(Y25),Y25,0))</f>
        <v>0</v>
      </c>
      <c r="AA24" s="226">
        <f t="shared" ref="AA24" ca="1" si="90">IF($B26,0,AA25-IF(ISNUMBER(Z25),Z25,0))</f>
        <v>0</v>
      </c>
      <c r="AB24" s="226">
        <f t="shared" ref="AB24" ca="1" si="91">IF($B26,0,AB25-IF(ISNUMBER(AA25),AA25,0))</f>
        <v>0</v>
      </c>
      <c r="AC24" s="226">
        <f t="shared" ref="AC24" ca="1" si="92">IF($B26,0,AC25-IF(ISNUMBER(AB25),AB25,0))</f>
        <v>0</v>
      </c>
      <c r="AD24" s="226">
        <f t="shared" ref="AD24" ca="1" si="93">IF($B26,0,AD25-IF(ISNUMBER(AC25),AC25,0))</f>
        <v>0</v>
      </c>
      <c r="AE24" s="227">
        <f t="shared" ref="AE24" ca="1" si="94">IF($B26,0,AE25-IF(ISNUMBER(AD25),AD25,0))</f>
        <v>0</v>
      </c>
      <c r="AF24" s="196"/>
      <c r="AK24" s="221">
        <f t="shared" ref="AK24" ca="1" si="95">IF($B26,0,AK25-IF(ISNUMBER(AJ25),AJ25,0))</f>
        <v>0</v>
      </c>
    </row>
    <row r="25" spans="1:37" customFormat="1" ht="14.25" x14ac:dyDescent="0.2">
      <c r="A25" s="184"/>
      <c r="B25" s="184"/>
      <c r="C25" s="184"/>
      <c r="D25" s="184"/>
      <c r="E25" s="184"/>
      <c r="F25" s="184"/>
      <c r="G25" s="184"/>
      <c r="H25" s="184"/>
      <c r="I25" s="184"/>
      <c r="J25" s="184"/>
      <c r="K25" s="184"/>
      <c r="L25" s="375"/>
      <c r="M25" s="377"/>
      <c r="N25" s="379"/>
      <c r="O25" s="170" t="s">
        <v>145</v>
      </c>
      <c r="P25" s="198">
        <f t="shared" ref="P25" ca="1" si="96">MIN(IF($B26,P24+IF(ISNUMBER(O25),O25,0),P26/$N24),1)</f>
        <v>0.5</v>
      </c>
      <c r="Q25" s="168">
        <f t="shared" ref="Q25" ca="1" si="97">MIN(IF($B26,Q24+IF(ISNUMBER(P25),P25,0),Q26/$N24),1)</f>
        <v>1</v>
      </c>
      <c r="R25" s="168">
        <f t="shared" ref="R25" ca="1" si="98">MIN(IF($B26,R24+IF(ISNUMBER(Q25),Q25,0),R26/$N24),1)</f>
        <v>1</v>
      </c>
      <c r="S25" s="168">
        <f t="shared" ref="S25" ca="1" si="99">MIN(IF($B26,S24+IF(ISNUMBER(R25),R25,0),S26/$N24),1)</f>
        <v>1</v>
      </c>
      <c r="T25" s="168">
        <f t="shared" ref="T25" ca="1" si="100">MIN(IF($B26,T24+IF(ISNUMBER(S25),S25,0),T26/$N24),1)</f>
        <v>1</v>
      </c>
      <c r="U25" s="168">
        <f t="shared" ref="U25" ca="1" si="101">MIN(IF($B26,U24+IF(ISNUMBER(T25),T25,0),U26/$N24),1)</f>
        <v>1</v>
      </c>
      <c r="V25" s="168">
        <f t="shared" ref="V25" ca="1" si="102">MIN(IF($B26,V24+IF(ISNUMBER(U25),U25,0),V26/$N24),1)</f>
        <v>1</v>
      </c>
      <c r="W25" s="168">
        <f t="shared" ref="W25" ca="1" si="103">MIN(IF($B26,W24+IF(ISNUMBER(V25),V25,0),W26/$N24),1)</f>
        <v>1</v>
      </c>
      <c r="X25" s="198">
        <f t="shared" ref="X25" ca="1" si="104">MIN(IF($B26,X24+IF(ISNUMBER(W25),W25,0),X26/$N24),1)</f>
        <v>1</v>
      </c>
      <c r="Y25" s="168">
        <f t="shared" ref="Y25" ca="1" si="105">MIN(IF($B26,Y24+IF(ISNUMBER(X25),X25,0),Y26/$N24),1)</f>
        <v>1</v>
      </c>
      <c r="Z25" s="168">
        <f t="shared" ref="Z25" ca="1" si="106">MIN(IF($B26,Z24+IF(ISNUMBER(Y25),Y25,0),Z26/$N24),1)</f>
        <v>1</v>
      </c>
      <c r="AA25" s="168">
        <f t="shared" ref="AA25" ca="1" si="107">MIN(IF($B26,AA24+IF(ISNUMBER(Z25),Z25,0),AA26/$N24),1)</f>
        <v>1</v>
      </c>
      <c r="AB25" s="168">
        <f t="shared" ref="AB25" ca="1" si="108">MIN(IF($B26,AB24+IF(ISNUMBER(AA25),AA25,0),AB26/$N24),1)</f>
        <v>1</v>
      </c>
      <c r="AC25" s="168">
        <f t="shared" ref="AC25" ca="1" si="109">MIN(IF($B26,AC24+IF(ISNUMBER(AB25),AB25,0),AC26/$N24),1)</f>
        <v>1</v>
      </c>
      <c r="AD25" s="168">
        <f t="shared" ref="AD25" ca="1" si="110">MIN(IF($B26,AD24+IF(ISNUMBER(AC25),AC25,0),AD26/$N24),1)</f>
        <v>1</v>
      </c>
      <c r="AE25" s="168">
        <f t="shared" ref="AE25" ca="1" si="111">MIN(IF($B26,AE24+IF(ISNUMBER(AD25),AD25,0),AE26/$N24),1)</f>
        <v>1</v>
      </c>
      <c r="AF25" s="196"/>
      <c r="AK25" s="168">
        <f t="shared" ref="AK25" ca="1" si="112">MIN(IF($B26,AK24+IF(ISNUMBER(AJ25),AJ25,0),AK26/$N24),1)</f>
        <v>0</v>
      </c>
    </row>
    <row r="26" spans="1:37" customFormat="1" ht="14.25" x14ac:dyDescent="0.2">
      <c r="A26" s="184">
        <f ca="1">OFFSET(A26,-CFF.NumLinha,0)+1</f>
        <v>3</v>
      </c>
      <c r="B26" s="184" t="b">
        <f ca="1">$C26&gt;=OFFSET($C26,CFF.NumLinha,0)</f>
        <v>1</v>
      </c>
      <c r="C26" s="184">
        <f ca="1">INDEX(PO!A$12:A$227,MATCH($A26,PO!$V$12:$V$227,0))</f>
        <v>2</v>
      </c>
      <c r="D26" s="184">
        <f t="shared" ref="D26" ca="1" si="113">IF(ISERROR(J26),I26,SMALL(I26:J26,1))-1</f>
        <v>2</v>
      </c>
      <c r="E26" s="184">
        <f ca="1">IF($C26=1,OFFSET(E26,-CFF.NumLinha,0)+1,OFFSET(E26,-CFF.NumLinha,0))</f>
        <v>1</v>
      </c>
      <c r="F26" s="184">
        <f ca="1">IF($C26=1,0,IF($C26=2,OFFSET(F26,-CFF.NumLinha,0)+1,OFFSET(F26,-CFF.NumLinha,0)))</f>
        <v>2</v>
      </c>
      <c r="G26" s="184">
        <f ca="1">IF(AND($C26&lt;=2,$C26&lt;&gt;0),0,IF($C26=3,OFFSET(G26,-CFF.NumLinha,0)+1,OFFSET(G26,-CFF.NumLinha,0)))</f>
        <v>0</v>
      </c>
      <c r="H26" s="184">
        <f ca="1">IF(AND($C26&lt;=3,$C26&lt;&gt;0),0,IF($C26=4,OFFSET(H26,-CFF.NumLinha,0)+1,OFFSET(H26,-CFF.NumLinha,0)))</f>
        <v>0</v>
      </c>
      <c r="I26" s="184">
        <f t="shared" ref="I26" ca="1" si="114">MATCH(0,OFFSET($D26,1,$C26,ROW($A$75)-ROW($A26)),0)</f>
        <v>49</v>
      </c>
      <c r="J26" s="184">
        <f t="shared" ref="J26" ca="1" si="115">MATCH(OFFSET($D26,0,$C26)+1,OFFSET($D26,1,$C26,ROW($A$75)-ROW($A26)),0)</f>
        <v>3</v>
      </c>
      <c r="K26" s="185">
        <f ca="1">ROUND(INDEX(PO!T$12:T$227,MATCH($A26,PO!$V$12:$V$227,0)),2)+10^-12</f>
        <v>9.9999999999999998E-13</v>
      </c>
      <c r="L26" s="375"/>
      <c r="M26" s="377"/>
      <c r="N26" s="379"/>
      <c r="O26" s="204" t="s">
        <v>20</v>
      </c>
      <c r="P26" s="199">
        <f t="shared" ref="P26:W26" ca="1" si="116">IF($B26,ROUND(P25*$N24,2),ROUND(SUMIF(OFFSET($B26,1,0,$D26),TRUE,OFFSET(P26,1,0,$D26))/SUMIF(OFFSET($B26,1,0,$D26),TRUE,OFFSET($K26,1,0,$D26))*$N24,2))</f>
        <v>0</v>
      </c>
      <c r="Q26" s="169">
        <f t="shared" ca="1" si="116"/>
        <v>0</v>
      </c>
      <c r="R26" s="169">
        <f t="shared" ca="1" si="116"/>
        <v>0</v>
      </c>
      <c r="S26" s="169">
        <f t="shared" ca="1" si="116"/>
        <v>0</v>
      </c>
      <c r="T26" s="169">
        <f t="shared" ca="1" si="116"/>
        <v>0</v>
      </c>
      <c r="U26" s="169">
        <f t="shared" ca="1" si="116"/>
        <v>0</v>
      </c>
      <c r="V26" s="169">
        <f t="shared" ca="1" si="116"/>
        <v>0</v>
      </c>
      <c r="W26" s="207">
        <f t="shared" ca="1" si="116"/>
        <v>0</v>
      </c>
      <c r="X26" s="199">
        <f t="shared" ref="X26" ca="1" si="117">IF($B26,ROUND(X25*$N24,2),ROUND(SUMIF(OFFSET($B26,1,0,$D26),TRUE,OFFSET(X26,1,0,$D26))/SUMIF(OFFSET($B26,1,0,$D26),TRUE,OFFSET($K26,1,0,$D26))*$N24,2))</f>
        <v>0</v>
      </c>
      <c r="Y26" s="169">
        <f t="shared" ref="Y26" ca="1" si="118">IF($B26,ROUND(Y25*$N24,2),ROUND(SUMIF(OFFSET($B26,1,0,$D26),TRUE,OFFSET(Y26,1,0,$D26))/SUMIF(OFFSET($B26,1,0,$D26),TRUE,OFFSET($K26,1,0,$D26))*$N24,2))</f>
        <v>0</v>
      </c>
      <c r="Z26" s="169">
        <f t="shared" ref="Z26" ca="1" si="119">IF($B26,ROUND(Z25*$N24,2),ROUND(SUMIF(OFFSET($B26,1,0,$D26),TRUE,OFFSET(Z26,1,0,$D26))/SUMIF(OFFSET($B26,1,0,$D26),TRUE,OFFSET($K26,1,0,$D26))*$N24,2))</f>
        <v>0</v>
      </c>
      <c r="AA26" s="169">
        <f t="shared" ref="AA26" ca="1" si="120">IF($B26,ROUND(AA25*$N24,2),ROUND(SUMIF(OFFSET($B26,1,0,$D26),TRUE,OFFSET(AA26,1,0,$D26))/SUMIF(OFFSET($B26,1,0,$D26),TRUE,OFFSET($K26,1,0,$D26))*$N24,2))</f>
        <v>0</v>
      </c>
      <c r="AB26" s="169">
        <f t="shared" ref="AB26" ca="1" si="121">IF($B26,ROUND(AB25*$N24,2),ROUND(SUMIF(OFFSET($B26,1,0,$D26),TRUE,OFFSET(AB26,1,0,$D26))/SUMIF(OFFSET($B26,1,0,$D26),TRUE,OFFSET($K26,1,0,$D26))*$N24,2))</f>
        <v>0</v>
      </c>
      <c r="AC26" s="169">
        <f t="shared" ref="AC26" ca="1" si="122">IF($B26,ROUND(AC25*$N24,2),ROUND(SUMIF(OFFSET($B26,1,0,$D26),TRUE,OFFSET(AC26,1,0,$D26))/SUMIF(OFFSET($B26,1,0,$D26),TRUE,OFFSET($K26,1,0,$D26))*$N24,2))</f>
        <v>0</v>
      </c>
      <c r="AD26" s="169">
        <f t="shared" ref="AD26" ca="1" si="123">IF($B26,ROUND(AD25*$N24,2),ROUND(SUMIF(OFFSET($B26,1,0,$D26),TRUE,OFFSET(AD26,1,0,$D26))/SUMIF(OFFSET($B26,1,0,$D26),TRUE,OFFSET($K26,1,0,$D26))*$N24,2))</f>
        <v>0</v>
      </c>
      <c r="AE26" s="207">
        <f t="shared" ref="AE26" ca="1" si="124">IF($B26,ROUND(AE25*$N24,2),ROUND(SUMIF(OFFSET($B26,1,0,$D26),TRUE,OFFSET(AE26,1,0,$D26))/SUMIF(OFFSET($B26,1,0,$D26),TRUE,OFFSET($K26,1,0,$D26))*$N24,2))</f>
        <v>0</v>
      </c>
      <c r="AF26" s="196"/>
      <c r="AK26" s="169">
        <f t="shared" ref="AK26" ca="1" si="125">IF($B26,ROUND(AK25*$N24,2),ROUND(SUMIF(OFFSET($B26,1,0,$D26),TRUE,OFFSET(AK26,1,0,$D26))/SUMIF(OFFSET($B26,1,0,$D26),TRUE,OFFSET($K26,1,0,$D26))*$N24,2))</f>
        <v>0</v>
      </c>
    </row>
    <row r="27" spans="1:37" customFormat="1" ht="14.25" customHeight="1" x14ac:dyDescent="0.2">
      <c r="A27" s="82"/>
      <c r="B27" s="82"/>
      <c r="C27" s="82"/>
      <c r="D27" s="82"/>
      <c r="E27" s="82"/>
      <c r="F27" s="82"/>
      <c r="G27" s="82"/>
      <c r="H27" s="82"/>
      <c r="I27" s="82"/>
      <c r="J27" s="82"/>
      <c r="K27" s="82"/>
      <c r="L27" s="374" t="str">
        <f ca="1">INDEX(PO!K$12:K$227,MATCH($A29,PO!$V$12:$V$227,0))</f>
        <v>1.3.</v>
      </c>
      <c r="M27" s="376" t="str">
        <f ca="1">INDEX(PO!N$12:N$227,MATCH($A29,PO!$V$12:$V$227,0))</f>
        <v>MOVIMENTO DE TERRAS PARA FUNDAÇÃO</v>
      </c>
      <c r="N27" s="378">
        <f t="shared" ref="N27" ca="1" si="126">IF(ROUND(K29,2)=0,K29,ROUND(K29,2))</f>
        <v>9.9999999999999998E-13</v>
      </c>
      <c r="O27" s="220" t="s">
        <v>143</v>
      </c>
      <c r="P27" s="225">
        <v>0</v>
      </c>
      <c r="Q27" s="226">
        <v>0.4</v>
      </c>
      <c r="R27" s="226">
        <v>0.4</v>
      </c>
      <c r="S27" s="226">
        <v>0.2</v>
      </c>
      <c r="T27" s="226">
        <f t="shared" ref="T27" ca="1" si="127">IF($B29,0,T28-IF(ISNUMBER(S28),S28,0))</f>
        <v>0</v>
      </c>
      <c r="U27" s="226">
        <f t="shared" ref="U27" ca="1" si="128">IF($B29,0,U28-IF(ISNUMBER(T28),T28,0))</f>
        <v>0</v>
      </c>
      <c r="V27" s="226">
        <f t="shared" ref="V27" ca="1" si="129">IF($B29,0,V28-IF(ISNUMBER(U28),U28,0))</f>
        <v>0</v>
      </c>
      <c r="W27" s="227">
        <f t="shared" ref="W27" ca="1" si="130">IF($B29,0,W28-IF(ISNUMBER(V28),V28,0))</f>
        <v>0</v>
      </c>
      <c r="X27" s="225">
        <f t="shared" ref="X27" ca="1" si="131">IF($B29,0,X28-IF(ISNUMBER(W28),W28,0))</f>
        <v>0</v>
      </c>
      <c r="Y27" s="226">
        <f t="shared" ref="Y27" ca="1" si="132">IF($B29,0,Y28-IF(ISNUMBER(X28),X28,0))</f>
        <v>0</v>
      </c>
      <c r="Z27" s="226">
        <f t="shared" ref="Z27" ca="1" si="133">IF($B29,0,Z28-IF(ISNUMBER(Y28),Y28,0))</f>
        <v>0</v>
      </c>
      <c r="AA27" s="226">
        <f t="shared" ref="AA27" ca="1" si="134">IF($B29,0,AA28-IF(ISNUMBER(Z28),Z28,0))</f>
        <v>0</v>
      </c>
      <c r="AB27" s="226">
        <f t="shared" ref="AB27" ca="1" si="135">IF($B29,0,AB28-IF(ISNUMBER(AA28),AA28,0))</f>
        <v>0</v>
      </c>
      <c r="AC27" s="226">
        <f t="shared" ref="AC27" ca="1" si="136">IF($B29,0,AC28-IF(ISNUMBER(AB28),AB28,0))</f>
        <v>0</v>
      </c>
      <c r="AD27" s="226">
        <f t="shared" ref="AD27" ca="1" si="137">IF($B29,0,AD28-IF(ISNUMBER(AC28),AC28,0))</f>
        <v>0</v>
      </c>
      <c r="AE27" s="227">
        <f t="shared" ref="AE27" ca="1" si="138">IF($B29,0,AE28-IF(ISNUMBER(AD28),AD28,0))</f>
        <v>0</v>
      </c>
      <c r="AF27" s="196"/>
      <c r="AK27" s="221">
        <f t="shared" ref="AK27" ca="1" si="139">IF($B29,0,AK28-IF(ISNUMBER(AJ28),AJ28,0))</f>
        <v>0</v>
      </c>
    </row>
    <row r="28" spans="1:37" customFormat="1" ht="14.25" x14ac:dyDescent="0.2">
      <c r="A28" s="184"/>
      <c r="B28" s="184"/>
      <c r="C28" s="184"/>
      <c r="D28" s="184"/>
      <c r="E28" s="184"/>
      <c r="F28" s="184"/>
      <c r="G28" s="184"/>
      <c r="H28" s="184"/>
      <c r="I28" s="184"/>
      <c r="J28" s="184"/>
      <c r="K28" s="184"/>
      <c r="L28" s="375"/>
      <c r="M28" s="377"/>
      <c r="N28" s="379"/>
      <c r="O28" s="170" t="s">
        <v>145</v>
      </c>
      <c r="P28" s="198">
        <f t="shared" ref="P28" ca="1" si="140">MIN(IF($B29,P27+IF(ISNUMBER(O28),O28,0),P29/$N27),1)</f>
        <v>0</v>
      </c>
      <c r="Q28" s="168">
        <f t="shared" ref="Q28" ca="1" si="141">MIN(IF($B29,Q27+IF(ISNUMBER(P28),P28,0),Q29/$N27),1)</f>
        <v>0.4</v>
      </c>
      <c r="R28" s="168">
        <f t="shared" ref="R28" ca="1" si="142">MIN(IF($B29,R27+IF(ISNUMBER(Q28),Q28,0),R29/$N27),1)</f>
        <v>0.8</v>
      </c>
      <c r="S28" s="168">
        <f t="shared" ref="S28" ca="1" si="143">MIN(IF($B29,S27+IF(ISNUMBER(R28),R28,0),S29/$N27),1)</f>
        <v>1</v>
      </c>
      <c r="T28" s="168">
        <f t="shared" ref="T28" ca="1" si="144">MIN(IF($B29,T27+IF(ISNUMBER(S28),S28,0),T29/$N27),1)</f>
        <v>1</v>
      </c>
      <c r="U28" s="168">
        <f t="shared" ref="U28" ca="1" si="145">MIN(IF($B29,U27+IF(ISNUMBER(T28),T28,0),U29/$N27),1)</f>
        <v>1</v>
      </c>
      <c r="V28" s="168">
        <f t="shared" ref="V28" ca="1" si="146">MIN(IF($B29,V27+IF(ISNUMBER(U28),U28,0),V29/$N27),1)</f>
        <v>1</v>
      </c>
      <c r="W28" s="168">
        <f t="shared" ref="W28" ca="1" si="147">MIN(IF($B29,W27+IF(ISNUMBER(V28),V28,0),W29/$N27),1)</f>
        <v>1</v>
      </c>
      <c r="X28" s="198">
        <f t="shared" ref="X28" ca="1" si="148">MIN(IF($B29,X27+IF(ISNUMBER(W28),W28,0),X29/$N27),1)</f>
        <v>1</v>
      </c>
      <c r="Y28" s="168">
        <f t="shared" ref="Y28" ca="1" si="149">MIN(IF($B29,Y27+IF(ISNUMBER(X28),X28,0),Y29/$N27),1)</f>
        <v>1</v>
      </c>
      <c r="Z28" s="168">
        <f t="shared" ref="Z28" ca="1" si="150">MIN(IF($B29,Z27+IF(ISNUMBER(Y28),Y28,0),Z29/$N27),1)</f>
        <v>1</v>
      </c>
      <c r="AA28" s="168">
        <f t="shared" ref="AA28" ca="1" si="151">MIN(IF($B29,AA27+IF(ISNUMBER(Z28),Z28,0),AA29/$N27),1)</f>
        <v>1</v>
      </c>
      <c r="AB28" s="168">
        <f t="shared" ref="AB28" ca="1" si="152">MIN(IF($B29,AB27+IF(ISNUMBER(AA28),AA28,0),AB29/$N27),1)</f>
        <v>1</v>
      </c>
      <c r="AC28" s="168">
        <f t="shared" ref="AC28" ca="1" si="153">MIN(IF($B29,AC27+IF(ISNUMBER(AB28),AB28,0),AC29/$N27),1)</f>
        <v>1</v>
      </c>
      <c r="AD28" s="168">
        <f t="shared" ref="AD28" ca="1" si="154">MIN(IF($B29,AD27+IF(ISNUMBER(AC28),AC28,0),AD29/$N27),1)</f>
        <v>1</v>
      </c>
      <c r="AE28" s="168">
        <f t="shared" ref="AE28" ca="1" si="155">MIN(IF($B29,AE27+IF(ISNUMBER(AD28),AD28,0),AE29/$N27),1)</f>
        <v>1</v>
      </c>
      <c r="AF28" s="196"/>
      <c r="AK28" s="168">
        <f t="shared" ref="AK28" ca="1" si="156">MIN(IF($B29,AK27+IF(ISNUMBER(AJ28),AJ28,0),AK29/$N27),1)</f>
        <v>0</v>
      </c>
    </row>
    <row r="29" spans="1:37" customFormat="1" ht="14.25" x14ac:dyDescent="0.2">
      <c r="A29" s="184">
        <f ca="1">OFFSET(A29,-CFF.NumLinha,0)+1</f>
        <v>4</v>
      </c>
      <c r="B29" s="184" t="b">
        <f ca="1">$C29&gt;=OFFSET($C29,CFF.NumLinha,0)</f>
        <v>1</v>
      </c>
      <c r="C29" s="184">
        <f ca="1">INDEX(PO!A$12:A$227,MATCH($A29,PO!$V$12:$V$227,0))</f>
        <v>2</v>
      </c>
      <c r="D29" s="184">
        <f t="shared" ref="D29" ca="1" si="157">IF(ISERROR(J29),I29,SMALL(I29:J29,1))-1</f>
        <v>2</v>
      </c>
      <c r="E29" s="184">
        <f ca="1">IF($C29=1,OFFSET(E29,-CFF.NumLinha,0)+1,OFFSET(E29,-CFF.NumLinha,0))</f>
        <v>1</v>
      </c>
      <c r="F29" s="184">
        <f ca="1">IF($C29=1,0,IF($C29=2,OFFSET(F29,-CFF.NumLinha,0)+1,OFFSET(F29,-CFF.NumLinha,0)))</f>
        <v>3</v>
      </c>
      <c r="G29" s="184">
        <f ca="1">IF(AND($C29&lt;=2,$C29&lt;&gt;0),0,IF($C29=3,OFFSET(G29,-CFF.NumLinha,0)+1,OFFSET(G29,-CFF.NumLinha,0)))</f>
        <v>0</v>
      </c>
      <c r="H29" s="184">
        <f ca="1">IF(AND($C29&lt;=3,$C29&lt;&gt;0),0,IF($C29=4,OFFSET(H29,-CFF.NumLinha,0)+1,OFFSET(H29,-CFF.NumLinha,0)))</f>
        <v>0</v>
      </c>
      <c r="I29" s="184">
        <f t="shared" ref="I29" ca="1" si="158">MATCH(0,OFFSET($D29,1,$C29,ROW($A$75)-ROW($A29)),0)</f>
        <v>46</v>
      </c>
      <c r="J29" s="184">
        <f t="shared" ref="J29" ca="1" si="159">MATCH(OFFSET($D29,0,$C29)+1,OFFSET($D29,1,$C29,ROW($A$75)-ROW($A29)),0)</f>
        <v>3</v>
      </c>
      <c r="K29" s="185">
        <f ca="1">ROUND(INDEX(PO!T$12:T$227,MATCH($A29,PO!$V$12:$V$227,0)),2)+10^-12</f>
        <v>9.9999999999999998E-13</v>
      </c>
      <c r="L29" s="375"/>
      <c r="M29" s="377"/>
      <c r="N29" s="379"/>
      <c r="O29" s="204" t="s">
        <v>20</v>
      </c>
      <c r="P29" s="199">
        <f t="shared" ref="P29:W29" ca="1" si="160">IF($B29,ROUND(P28*$N27,2),ROUND(SUMIF(OFFSET($B29,1,0,$D29),TRUE,OFFSET(P29,1,0,$D29))/SUMIF(OFFSET($B29,1,0,$D29),TRUE,OFFSET($K29,1,0,$D29))*$N27,2))</f>
        <v>0</v>
      </c>
      <c r="Q29" s="169">
        <f t="shared" ca="1" si="160"/>
        <v>0</v>
      </c>
      <c r="R29" s="169">
        <f t="shared" ca="1" si="160"/>
        <v>0</v>
      </c>
      <c r="S29" s="169">
        <f t="shared" ca="1" si="160"/>
        <v>0</v>
      </c>
      <c r="T29" s="169">
        <f t="shared" ca="1" si="160"/>
        <v>0</v>
      </c>
      <c r="U29" s="169">
        <f t="shared" ca="1" si="160"/>
        <v>0</v>
      </c>
      <c r="V29" s="169">
        <f t="shared" ca="1" si="160"/>
        <v>0</v>
      </c>
      <c r="W29" s="207">
        <f t="shared" ca="1" si="160"/>
        <v>0</v>
      </c>
      <c r="X29" s="199">
        <f t="shared" ref="X29" ca="1" si="161">IF($B29,ROUND(X28*$N27,2),ROUND(SUMIF(OFFSET($B29,1,0,$D29),TRUE,OFFSET(X29,1,0,$D29))/SUMIF(OFFSET($B29,1,0,$D29),TRUE,OFFSET($K29,1,0,$D29))*$N27,2))</f>
        <v>0</v>
      </c>
      <c r="Y29" s="169">
        <f t="shared" ref="Y29" ca="1" si="162">IF($B29,ROUND(Y28*$N27,2),ROUND(SUMIF(OFFSET($B29,1,0,$D29),TRUE,OFFSET(Y29,1,0,$D29))/SUMIF(OFFSET($B29,1,0,$D29),TRUE,OFFSET($K29,1,0,$D29))*$N27,2))</f>
        <v>0</v>
      </c>
      <c r="Z29" s="169">
        <f t="shared" ref="Z29" ca="1" si="163">IF($B29,ROUND(Z28*$N27,2),ROUND(SUMIF(OFFSET($B29,1,0,$D29),TRUE,OFFSET(Z29,1,0,$D29))/SUMIF(OFFSET($B29,1,0,$D29),TRUE,OFFSET($K29,1,0,$D29))*$N27,2))</f>
        <v>0</v>
      </c>
      <c r="AA29" s="169">
        <f t="shared" ref="AA29" ca="1" si="164">IF($B29,ROUND(AA28*$N27,2),ROUND(SUMIF(OFFSET($B29,1,0,$D29),TRUE,OFFSET(AA29,1,0,$D29))/SUMIF(OFFSET($B29,1,0,$D29),TRUE,OFFSET($K29,1,0,$D29))*$N27,2))</f>
        <v>0</v>
      </c>
      <c r="AB29" s="169">
        <f t="shared" ref="AB29" ca="1" si="165">IF($B29,ROUND(AB28*$N27,2),ROUND(SUMIF(OFFSET($B29,1,0,$D29),TRUE,OFFSET(AB29,1,0,$D29))/SUMIF(OFFSET($B29,1,0,$D29),TRUE,OFFSET($K29,1,0,$D29))*$N27,2))</f>
        <v>0</v>
      </c>
      <c r="AC29" s="169">
        <f t="shared" ref="AC29" ca="1" si="166">IF($B29,ROUND(AC28*$N27,2),ROUND(SUMIF(OFFSET($B29,1,0,$D29),TRUE,OFFSET(AC29,1,0,$D29))/SUMIF(OFFSET($B29,1,0,$D29),TRUE,OFFSET($K29,1,0,$D29))*$N27,2))</f>
        <v>0</v>
      </c>
      <c r="AD29" s="169">
        <f t="shared" ref="AD29" ca="1" si="167">IF($B29,ROUND(AD28*$N27,2),ROUND(SUMIF(OFFSET($B29,1,0,$D29),TRUE,OFFSET(AD29,1,0,$D29))/SUMIF(OFFSET($B29,1,0,$D29),TRUE,OFFSET($K29,1,0,$D29))*$N27,2))</f>
        <v>0</v>
      </c>
      <c r="AE29" s="207">
        <f t="shared" ref="AE29" ca="1" si="168">IF($B29,ROUND(AE28*$N27,2),ROUND(SUMIF(OFFSET($B29,1,0,$D29),TRUE,OFFSET(AE29,1,0,$D29))/SUMIF(OFFSET($B29,1,0,$D29),TRUE,OFFSET($K29,1,0,$D29))*$N27,2))</f>
        <v>0</v>
      </c>
      <c r="AF29" s="196"/>
      <c r="AK29" s="169">
        <f t="shared" ref="AK29" ca="1" si="169">IF($B29,ROUND(AK28*$N27,2),ROUND(SUMIF(OFFSET($B29,1,0,$D29),TRUE,OFFSET(AK29,1,0,$D29))/SUMIF(OFFSET($B29,1,0,$D29),TRUE,OFFSET($K29,1,0,$D29))*$N27,2))</f>
        <v>0</v>
      </c>
    </row>
    <row r="30" spans="1:37" customFormat="1" ht="14.25" customHeight="1" x14ac:dyDescent="0.2">
      <c r="A30" s="82"/>
      <c r="B30" s="82"/>
      <c r="C30" s="82"/>
      <c r="D30" s="82"/>
      <c r="E30" s="82"/>
      <c r="F30" s="82"/>
      <c r="G30" s="82"/>
      <c r="H30" s="82"/>
      <c r="I30" s="82"/>
      <c r="J30" s="82"/>
      <c r="K30" s="82"/>
      <c r="L30" s="374" t="str">
        <f ca="1">INDEX(PO!K$12:K$227,MATCH($A32,PO!$V$12:$V$227,0))</f>
        <v>1.4.</v>
      </c>
      <c r="M30" s="376" t="str">
        <f ca="1">INDEX(PO!N$12:N$227,MATCH($A32,PO!$V$12:$V$227,0))</f>
        <v>FUNDAÇÕES</v>
      </c>
      <c r="N30" s="378">
        <f t="shared" ref="N30" ca="1" si="170">IF(ROUND(K32,2)=0,K32,ROUND(K32,2))</f>
        <v>9.9999999999999998E-13</v>
      </c>
      <c r="O30" s="220" t="s">
        <v>143</v>
      </c>
      <c r="P30" s="225"/>
      <c r="Q30" s="226">
        <v>0.2</v>
      </c>
      <c r="R30" s="226">
        <v>0.4</v>
      </c>
      <c r="S30" s="226">
        <v>0.4</v>
      </c>
      <c r="T30" s="226"/>
      <c r="U30" s="226"/>
      <c r="V30" s="226"/>
      <c r="W30" s="227">
        <f t="shared" ref="W30" ca="1" si="171">IF($B32,0,W31-IF(ISNUMBER(V31),V31,0))</f>
        <v>0</v>
      </c>
      <c r="X30" s="225">
        <f t="shared" ref="X30" ca="1" si="172">IF($B32,0,X31-IF(ISNUMBER(W31),W31,0))</f>
        <v>0</v>
      </c>
      <c r="Y30" s="226">
        <f t="shared" ref="Y30" ca="1" si="173">IF($B32,0,Y31-IF(ISNUMBER(X31),X31,0))</f>
        <v>0</v>
      </c>
      <c r="Z30" s="226">
        <f t="shared" ref="Z30" ca="1" si="174">IF($B32,0,Z31-IF(ISNUMBER(Y31),Y31,0))</f>
        <v>0</v>
      </c>
      <c r="AA30" s="226">
        <f t="shared" ref="AA30" ca="1" si="175">IF($B32,0,AA31-IF(ISNUMBER(Z31),Z31,0))</f>
        <v>0</v>
      </c>
      <c r="AB30" s="226">
        <f t="shared" ref="AB30" ca="1" si="176">IF($B32,0,AB31-IF(ISNUMBER(AA31),AA31,0))</f>
        <v>0</v>
      </c>
      <c r="AC30" s="226">
        <f t="shared" ref="AC30" ca="1" si="177">IF($B32,0,AC31-IF(ISNUMBER(AB31),AB31,0))</f>
        <v>0</v>
      </c>
      <c r="AD30" s="226">
        <f t="shared" ref="AD30" ca="1" si="178">IF($B32,0,AD31-IF(ISNUMBER(AC31),AC31,0))</f>
        <v>0</v>
      </c>
      <c r="AE30" s="227">
        <f t="shared" ref="AE30" ca="1" si="179">IF($B32,0,AE31-IF(ISNUMBER(AD31),AD31,0))</f>
        <v>0</v>
      </c>
      <c r="AF30" s="196"/>
      <c r="AK30" s="221">
        <f t="shared" ref="AK30" ca="1" si="180">IF($B32,0,AK31-IF(ISNUMBER(AJ31),AJ31,0))</f>
        <v>0</v>
      </c>
    </row>
    <row r="31" spans="1:37" customFormat="1" ht="14.25" x14ac:dyDescent="0.2">
      <c r="A31" s="184"/>
      <c r="B31" s="184"/>
      <c r="C31" s="184"/>
      <c r="D31" s="184"/>
      <c r="E31" s="184"/>
      <c r="F31" s="184"/>
      <c r="G31" s="184"/>
      <c r="H31" s="184"/>
      <c r="I31" s="184"/>
      <c r="J31" s="184"/>
      <c r="K31" s="184"/>
      <c r="L31" s="375"/>
      <c r="M31" s="377"/>
      <c r="N31" s="379"/>
      <c r="O31" s="170" t="s">
        <v>145</v>
      </c>
      <c r="P31" s="198">
        <f t="shared" ref="P31" ca="1" si="181">MIN(IF($B32,P30+IF(ISNUMBER(O31),O31,0),P32/$N30),1)</f>
        <v>0</v>
      </c>
      <c r="Q31" s="168">
        <f t="shared" ref="Q31" ca="1" si="182">MIN(IF($B32,Q30+IF(ISNUMBER(P31),P31,0),Q32/$N30),1)</f>
        <v>0.2</v>
      </c>
      <c r="R31" s="168">
        <f t="shared" ref="R31" ca="1" si="183">MIN(IF($B32,R30+IF(ISNUMBER(Q31),Q31,0),R32/$N30),1)</f>
        <v>0.60000000000000009</v>
      </c>
      <c r="S31" s="168">
        <f t="shared" ref="S31" ca="1" si="184">MIN(IF($B32,S30+IF(ISNUMBER(R31),R31,0),S32/$N30),1)</f>
        <v>1</v>
      </c>
      <c r="T31" s="168">
        <f t="shared" ref="T31" ca="1" si="185">MIN(IF($B32,T30+IF(ISNUMBER(S31),S31,0),T32/$N30),1)</f>
        <v>1</v>
      </c>
      <c r="U31" s="168">
        <f t="shared" ref="U31" ca="1" si="186">MIN(IF($B32,U30+IF(ISNUMBER(T31),T31,0),U32/$N30),1)</f>
        <v>1</v>
      </c>
      <c r="V31" s="168">
        <f t="shared" ref="V31" ca="1" si="187">MIN(IF($B32,V30+IF(ISNUMBER(U31),U31,0),V32/$N30),1)</f>
        <v>1</v>
      </c>
      <c r="W31" s="168">
        <f t="shared" ref="W31" ca="1" si="188">MIN(IF($B32,W30+IF(ISNUMBER(V31),V31,0),W32/$N30),1)</f>
        <v>1</v>
      </c>
      <c r="X31" s="198">
        <f t="shared" ref="X31" ca="1" si="189">MIN(IF($B32,X30+IF(ISNUMBER(W31),W31,0),X32/$N30),1)</f>
        <v>1</v>
      </c>
      <c r="Y31" s="168">
        <f t="shared" ref="Y31" ca="1" si="190">MIN(IF($B32,Y30+IF(ISNUMBER(X31),X31,0),Y32/$N30),1)</f>
        <v>1</v>
      </c>
      <c r="Z31" s="168">
        <f t="shared" ref="Z31" ca="1" si="191">MIN(IF($B32,Z30+IF(ISNUMBER(Y31),Y31,0),Z32/$N30),1)</f>
        <v>1</v>
      </c>
      <c r="AA31" s="168">
        <f t="shared" ref="AA31" ca="1" si="192">MIN(IF($B32,AA30+IF(ISNUMBER(Z31),Z31,0),AA32/$N30),1)</f>
        <v>1</v>
      </c>
      <c r="AB31" s="168">
        <f t="shared" ref="AB31" ca="1" si="193">MIN(IF($B32,AB30+IF(ISNUMBER(AA31),AA31,0),AB32/$N30),1)</f>
        <v>1</v>
      </c>
      <c r="AC31" s="168">
        <f t="shared" ref="AC31" ca="1" si="194">MIN(IF($B32,AC30+IF(ISNUMBER(AB31),AB31,0),AC32/$N30),1)</f>
        <v>1</v>
      </c>
      <c r="AD31" s="168">
        <f t="shared" ref="AD31" ca="1" si="195">MIN(IF($B32,AD30+IF(ISNUMBER(AC31),AC31,0),AD32/$N30),1)</f>
        <v>1</v>
      </c>
      <c r="AE31" s="168">
        <f t="shared" ref="AE31" ca="1" si="196">MIN(IF($B32,AE30+IF(ISNUMBER(AD31),AD31,0),AE32/$N30),1)</f>
        <v>1</v>
      </c>
      <c r="AF31" s="196"/>
      <c r="AK31" s="168">
        <f t="shared" ref="AK31" ca="1" si="197">MIN(IF($B32,AK30+IF(ISNUMBER(AJ31),AJ31,0),AK32/$N30),1)</f>
        <v>0</v>
      </c>
    </row>
    <row r="32" spans="1:37" customFormat="1" ht="14.25" x14ac:dyDescent="0.2">
      <c r="A32" s="184">
        <f ca="1">OFFSET(A32,-CFF.NumLinha,0)+1</f>
        <v>5</v>
      </c>
      <c r="B32" s="184" t="b">
        <f ca="1">$C32&gt;=OFFSET($C32,CFF.NumLinha,0)</f>
        <v>1</v>
      </c>
      <c r="C32" s="184">
        <f ca="1">INDEX(PO!A$12:A$227,MATCH($A32,PO!$V$12:$V$227,0))</f>
        <v>2</v>
      </c>
      <c r="D32" s="184">
        <f t="shared" ref="D32" ca="1" si="198">IF(ISERROR(J32),I32,SMALL(I32:J32,1))-1</f>
        <v>2</v>
      </c>
      <c r="E32" s="184">
        <f ca="1">IF($C32=1,OFFSET(E32,-CFF.NumLinha,0)+1,OFFSET(E32,-CFF.NumLinha,0))</f>
        <v>1</v>
      </c>
      <c r="F32" s="184">
        <f ca="1">IF($C32=1,0,IF($C32=2,OFFSET(F32,-CFF.NumLinha,0)+1,OFFSET(F32,-CFF.NumLinha,0)))</f>
        <v>4</v>
      </c>
      <c r="G32" s="184">
        <f ca="1">IF(AND($C32&lt;=2,$C32&lt;&gt;0),0,IF($C32=3,OFFSET(G32,-CFF.NumLinha,0)+1,OFFSET(G32,-CFF.NumLinha,0)))</f>
        <v>0</v>
      </c>
      <c r="H32" s="184">
        <f ca="1">IF(AND($C32&lt;=3,$C32&lt;&gt;0),0,IF($C32=4,OFFSET(H32,-CFF.NumLinha,0)+1,OFFSET(H32,-CFF.NumLinha,0)))</f>
        <v>0</v>
      </c>
      <c r="I32" s="184">
        <f t="shared" ref="I32" ca="1" si="199">MATCH(0,OFFSET($D32,1,$C32,ROW($A$75)-ROW($A32)),0)</f>
        <v>43</v>
      </c>
      <c r="J32" s="184">
        <f t="shared" ref="J32" ca="1" si="200">MATCH(OFFSET($D32,0,$C32)+1,OFFSET($D32,1,$C32,ROW($A$75)-ROW($A32)),0)</f>
        <v>3</v>
      </c>
      <c r="K32" s="185">
        <f ca="1">ROUND(INDEX(PO!T$12:T$227,MATCH($A32,PO!$V$12:$V$227,0)),2)+10^-12</f>
        <v>9.9999999999999998E-13</v>
      </c>
      <c r="L32" s="375"/>
      <c r="M32" s="377"/>
      <c r="N32" s="379"/>
      <c r="O32" s="204" t="s">
        <v>20</v>
      </c>
      <c r="P32" s="199">
        <f t="shared" ref="P32:W32" ca="1" si="201">IF($B32,ROUND(P31*$N30,2),ROUND(SUMIF(OFFSET($B32,1,0,$D32),TRUE,OFFSET(P32,1,0,$D32))/SUMIF(OFFSET($B32,1,0,$D32),TRUE,OFFSET($K32,1,0,$D32))*$N30,2))</f>
        <v>0</v>
      </c>
      <c r="Q32" s="169">
        <f t="shared" ca="1" si="201"/>
        <v>0</v>
      </c>
      <c r="R32" s="169">
        <f t="shared" ca="1" si="201"/>
        <v>0</v>
      </c>
      <c r="S32" s="169">
        <f t="shared" ca="1" si="201"/>
        <v>0</v>
      </c>
      <c r="T32" s="169">
        <f t="shared" ca="1" si="201"/>
        <v>0</v>
      </c>
      <c r="U32" s="169">
        <f t="shared" ca="1" si="201"/>
        <v>0</v>
      </c>
      <c r="V32" s="169">
        <f t="shared" ca="1" si="201"/>
        <v>0</v>
      </c>
      <c r="W32" s="207">
        <f t="shared" ca="1" si="201"/>
        <v>0</v>
      </c>
      <c r="X32" s="199">
        <f t="shared" ref="X32" ca="1" si="202">IF($B32,ROUND(X31*$N30,2),ROUND(SUMIF(OFFSET($B32,1,0,$D32),TRUE,OFFSET(X32,1,0,$D32))/SUMIF(OFFSET($B32,1,0,$D32),TRUE,OFFSET($K32,1,0,$D32))*$N30,2))</f>
        <v>0</v>
      </c>
      <c r="Y32" s="169">
        <f t="shared" ref="Y32" ca="1" si="203">IF($B32,ROUND(Y31*$N30,2),ROUND(SUMIF(OFFSET($B32,1,0,$D32),TRUE,OFFSET(Y32,1,0,$D32))/SUMIF(OFFSET($B32,1,0,$D32),TRUE,OFFSET($K32,1,0,$D32))*$N30,2))</f>
        <v>0</v>
      </c>
      <c r="Z32" s="169">
        <f t="shared" ref="Z32" ca="1" si="204">IF($B32,ROUND(Z31*$N30,2),ROUND(SUMIF(OFFSET($B32,1,0,$D32),TRUE,OFFSET(Z32,1,0,$D32))/SUMIF(OFFSET($B32,1,0,$D32),TRUE,OFFSET($K32,1,0,$D32))*$N30,2))</f>
        <v>0</v>
      </c>
      <c r="AA32" s="169">
        <f t="shared" ref="AA32" ca="1" si="205">IF($B32,ROUND(AA31*$N30,2),ROUND(SUMIF(OFFSET($B32,1,0,$D32),TRUE,OFFSET(AA32,1,0,$D32))/SUMIF(OFFSET($B32,1,0,$D32),TRUE,OFFSET($K32,1,0,$D32))*$N30,2))</f>
        <v>0</v>
      </c>
      <c r="AB32" s="169">
        <f t="shared" ref="AB32" ca="1" si="206">IF($B32,ROUND(AB31*$N30,2),ROUND(SUMIF(OFFSET($B32,1,0,$D32),TRUE,OFFSET(AB32,1,0,$D32))/SUMIF(OFFSET($B32,1,0,$D32),TRUE,OFFSET($K32,1,0,$D32))*$N30,2))</f>
        <v>0</v>
      </c>
      <c r="AC32" s="169">
        <f t="shared" ref="AC32" ca="1" si="207">IF($B32,ROUND(AC31*$N30,2),ROUND(SUMIF(OFFSET($B32,1,0,$D32),TRUE,OFFSET(AC32,1,0,$D32))/SUMIF(OFFSET($B32,1,0,$D32),TRUE,OFFSET($K32,1,0,$D32))*$N30,2))</f>
        <v>0</v>
      </c>
      <c r="AD32" s="169">
        <f t="shared" ref="AD32" ca="1" si="208">IF($B32,ROUND(AD31*$N30,2),ROUND(SUMIF(OFFSET($B32,1,0,$D32),TRUE,OFFSET(AD32,1,0,$D32))/SUMIF(OFFSET($B32,1,0,$D32),TRUE,OFFSET($K32,1,0,$D32))*$N30,2))</f>
        <v>0</v>
      </c>
      <c r="AE32" s="207">
        <f t="shared" ref="AE32" ca="1" si="209">IF($B32,ROUND(AE31*$N30,2),ROUND(SUMIF(OFFSET($B32,1,0,$D32),TRUE,OFFSET(AE32,1,0,$D32))/SUMIF(OFFSET($B32,1,0,$D32),TRUE,OFFSET($K32,1,0,$D32))*$N30,2))</f>
        <v>0</v>
      </c>
      <c r="AF32" s="196"/>
      <c r="AK32" s="169">
        <f t="shared" ref="AK32" ca="1" si="210">IF($B32,ROUND(AK31*$N30,2),ROUND(SUMIF(OFFSET($B32,1,0,$D32),TRUE,OFFSET(AK32,1,0,$D32))/SUMIF(OFFSET($B32,1,0,$D32),TRUE,OFFSET($K32,1,0,$D32))*$N30,2))</f>
        <v>0</v>
      </c>
    </row>
    <row r="33" spans="1:37" customFormat="1" ht="14.25" customHeight="1" x14ac:dyDescent="0.2">
      <c r="A33" s="82"/>
      <c r="B33" s="82"/>
      <c r="C33" s="82"/>
      <c r="D33" s="82"/>
      <c r="E33" s="82"/>
      <c r="F33" s="82"/>
      <c r="G33" s="82"/>
      <c r="H33" s="82"/>
      <c r="I33" s="82"/>
      <c r="J33" s="82"/>
      <c r="K33" s="82"/>
      <c r="L33" s="374" t="str">
        <f ca="1">INDEX(PO!K$12:K$227,MATCH($A35,PO!$V$12:$V$227,0))</f>
        <v>1.5.</v>
      </c>
      <c r="M33" s="376" t="str">
        <f ca="1">INDEX(PO!N$12:N$227,MATCH($A35,PO!$V$12:$V$227,0))</f>
        <v>SUPERESTRUTURA</v>
      </c>
      <c r="N33" s="378">
        <f t="shared" ref="N33" ca="1" si="211">IF(ROUND(K35,2)=0,K35,ROUND(K35,2))</f>
        <v>9.9999999999999998E-13</v>
      </c>
      <c r="O33" s="220" t="s">
        <v>143</v>
      </c>
      <c r="P33" s="225"/>
      <c r="Q33" s="226"/>
      <c r="R33" s="226"/>
      <c r="S33" s="226">
        <v>0.4</v>
      </c>
      <c r="T33" s="226">
        <v>0.3</v>
      </c>
      <c r="U33" s="226">
        <v>0.2</v>
      </c>
      <c r="V33" s="226">
        <v>0.1</v>
      </c>
      <c r="W33" s="227">
        <f t="shared" ref="W33" ca="1" si="212">IF($B35,0,W34-IF(ISNUMBER(V34),V34,0))</f>
        <v>0</v>
      </c>
      <c r="X33" s="225">
        <f t="shared" ref="X33" ca="1" si="213">IF($B35,0,X34-IF(ISNUMBER(W34),W34,0))</f>
        <v>0</v>
      </c>
      <c r="Y33" s="226">
        <f t="shared" ref="Y33" ca="1" si="214">IF($B35,0,Y34-IF(ISNUMBER(X34),X34,0))</f>
        <v>0</v>
      </c>
      <c r="Z33" s="226">
        <f t="shared" ref="Z33" ca="1" si="215">IF($B35,0,Z34-IF(ISNUMBER(Y34),Y34,0))</f>
        <v>0</v>
      </c>
      <c r="AA33" s="226">
        <f t="shared" ref="AA33" ca="1" si="216">IF($B35,0,AA34-IF(ISNUMBER(Z34),Z34,0))</f>
        <v>0</v>
      </c>
      <c r="AB33" s="226">
        <f t="shared" ref="AB33" ca="1" si="217">IF($B35,0,AB34-IF(ISNUMBER(AA34),AA34,0))</f>
        <v>0</v>
      </c>
      <c r="AC33" s="226">
        <f t="shared" ref="AC33" ca="1" si="218">IF($B35,0,AC34-IF(ISNUMBER(AB34),AB34,0))</f>
        <v>0</v>
      </c>
      <c r="AD33" s="226">
        <f t="shared" ref="AD33" ca="1" si="219">IF($B35,0,AD34-IF(ISNUMBER(AC34),AC34,0))</f>
        <v>0</v>
      </c>
      <c r="AE33" s="227">
        <f t="shared" ref="AE33" ca="1" si="220">IF($B35,0,AE34-IF(ISNUMBER(AD34),AD34,0))</f>
        <v>0</v>
      </c>
      <c r="AF33" s="196"/>
      <c r="AK33" s="221">
        <f t="shared" ref="AK33" ca="1" si="221">IF($B35,0,AK34-IF(ISNUMBER(AJ34),AJ34,0))</f>
        <v>0</v>
      </c>
    </row>
    <row r="34" spans="1:37" customFormat="1" ht="14.25" x14ac:dyDescent="0.2">
      <c r="A34" s="184"/>
      <c r="B34" s="184"/>
      <c r="C34" s="184"/>
      <c r="D34" s="184"/>
      <c r="E34" s="184"/>
      <c r="F34" s="184"/>
      <c r="G34" s="184"/>
      <c r="H34" s="184"/>
      <c r="I34" s="184"/>
      <c r="J34" s="184"/>
      <c r="K34" s="184"/>
      <c r="L34" s="375"/>
      <c r="M34" s="377"/>
      <c r="N34" s="379"/>
      <c r="O34" s="170" t="s">
        <v>145</v>
      </c>
      <c r="P34" s="198">
        <f t="shared" ref="P34" ca="1" si="222">MIN(IF($B35,P33+IF(ISNUMBER(O34),O34,0),P35/$N33),1)</f>
        <v>0</v>
      </c>
      <c r="Q34" s="168">
        <f t="shared" ref="Q34" ca="1" si="223">MIN(IF($B35,Q33+IF(ISNUMBER(P34),P34,0),Q35/$N33),1)</f>
        <v>0</v>
      </c>
      <c r="R34" s="168">
        <f t="shared" ref="R34" ca="1" si="224">MIN(IF($B35,R33+IF(ISNUMBER(Q34),Q34,0),R35/$N33),1)</f>
        <v>0</v>
      </c>
      <c r="S34" s="168">
        <f t="shared" ref="S34" ca="1" si="225">MIN(IF($B35,S33+IF(ISNUMBER(R34),R34,0),S35/$N33),1)</f>
        <v>0.4</v>
      </c>
      <c r="T34" s="168">
        <f t="shared" ref="T34" ca="1" si="226">MIN(IF($B35,T33+IF(ISNUMBER(S34),S34,0),T35/$N33),1)</f>
        <v>0.7</v>
      </c>
      <c r="U34" s="168">
        <f t="shared" ref="U34" ca="1" si="227">MIN(IF($B35,U33+IF(ISNUMBER(T34),T34,0),U35/$N33),1)</f>
        <v>0.89999999999999991</v>
      </c>
      <c r="V34" s="168">
        <f t="shared" ref="V34" ca="1" si="228">MIN(IF($B35,V33+IF(ISNUMBER(U34),U34,0),V35/$N33),1)</f>
        <v>0.99999999999999989</v>
      </c>
      <c r="W34" s="168">
        <f t="shared" ref="W34" ca="1" si="229">MIN(IF($B35,W33+IF(ISNUMBER(V34),V34,0),W35/$N33),1)</f>
        <v>0.99999999999999989</v>
      </c>
      <c r="X34" s="198">
        <f t="shared" ref="X34" ca="1" si="230">MIN(IF($B35,X33+IF(ISNUMBER(W34),W34,0),X35/$N33),1)</f>
        <v>0.99999999999999989</v>
      </c>
      <c r="Y34" s="168">
        <f t="shared" ref="Y34" ca="1" si="231">MIN(IF($B35,Y33+IF(ISNUMBER(X34),X34,0),Y35/$N33),1)</f>
        <v>0.99999999999999989</v>
      </c>
      <c r="Z34" s="168">
        <f t="shared" ref="Z34" ca="1" si="232">MIN(IF($B35,Z33+IF(ISNUMBER(Y34),Y34,0),Z35/$N33),1)</f>
        <v>0.99999999999999989</v>
      </c>
      <c r="AA34" s="168">
        <f t="shared" ref="AA34" ca="1" si="233">MIN(IF($B35,AA33+IF(ISNUMBER(Z34),Z34,0),AA35/$N33),1)</f>
        <v>0.99999999999999989</v>
      </c>
      <c r="AB34" s="168">
        <f t="shared" ref="AB34" ca="1" si="234">MIN(IF($B35,AB33+IF(ISNUMBER(AA34),AA34,0),AB35/$N33),1)</f>
        <v>0.99999999999999989</v>
      </c>
      <c r="AC34" s="168">
        <f t="shared" ref="AC34" ca="1" si="235">MIN(IF($B35,AC33+IF(ISNUMBER(AB34),AB34,0),AC35/$N33),1)</f>
        <v>0.99999999999999989</v>
      </c>
      <c r="AD34" s="168">
        <f t="shared" ref="AD34" ca="1" si="236">MIN(IF($B35,AD33+IF(ISNUMBER(AC34),AC34,0),AD35/$N33),1)</f>
        <v>0.99999999999999989</v>
      </c>
      <c r="AE34" s="168">
        <f t="shared" ref="AE34" ca="1" si="237">MIN(IF($B35,AE33+IF(ISNUMBER(AD34),AD34,0),AE35/$N33),1)</f>
        <v>0.99999999999999989</v>
      </c>
      <c r="AF34" s="196"/>
      <c r="AK34" s="168">
        <f t="shared" ref="AK34" ca="1" si="238">MIN(IF($B35,AK33+IF(ISNUMBER(AJ34),AJ34,0),AK35/$N33),1)</f>
        <v>0</v>
      </c>
    </row>
    <row r="35" spans="1:37" customFormat="1" ht="14.25" x14ac:dyDescent="0.2">
      <c r="A35" s="184">
        <f ca="1">OFFSET(A35,-CFF.NumLinha,0)+1</f>
        <v>6</v>
      </c>
      <c r="B35" s="184" t="b">
        <f ca="1">$C35&gt;=OFFSET($C35,CFF.NumLinha,0)</f>
        <v>1</v>
      </c>
      <c r="C35" s="184">
        <f ca="1">INDEX(PO!A$12:A$227,MATCH($A35,PO!$V$12:$V$227,0))</f>
        <v>2</v>
      </c>
      <c r="D35" s="184">
        <f t="shared" ref="D35" ca="1" si="239">IF(ISERROR(J35),I35,SMALL(I35:J35,1))-1</f>
        <v>2</v>
      </c>
      <c r="E35" s="184">
        <f ca="1">IF($C35=1,OFFSET(E35,-CFF.NumLinha,0)+1,OFFSET(E35,-CFF.NumLinha,0))</f>
        <v>1</v>
      </c>
      <c r="F35" s="184">
        <f ca="1">IF($C35=1,0,IF($C35=2,OFFSET(F35,-CFF.NumLinha,0)+1,OFFSET(F35,-CFF.NumLinha,0)))</f>
        <v>5</v>
      </c>
      <c r="G35" s="184">
        <f ca="1">IF(AND($C35&lt;=2,$C35&lt;&gt;0),0,IF($C35=3,OFFSET(G35,-CFF.NumLinha,0)+1,OFFSET(G35,-CFF.NumLinha,0)))</f>
        <v>0</v>
      </c>
      <c r="H35" s="184">
        <f ca="1">IF(AND($C35&lt;=3,$C35&lt;&gt;0),0,IF($C35=4,OFFSET(H35,-CFF.NumLinha,0)+1,OFFSET(H35,-CFF.NumLinha,0)))</f>
        <v>0</v>
      </c>
      <c r="I35" s="184">
        <f t="shared" ref="I35" ca="1" si="240">MATCH(0,OFFSET($D35,1,$C35,ROW($A$75)-ROW($A35)),0)</f>
        <v>40</v>
      </c>
      <c r="J35" s="184">
        <f t="shared" ref="J35" ca="1" si="241">MATCH(OFFSET($D35,0,$C35)+1,OFFSET($D35,1,$C35,ROW($A$75)-ROW($A35)),0)</f>
        <v>3</v>
      </c>
      <c r="K35" s="185">
        <f ca="1">ROUND(INDEX(PO!T$12:T$227,MATCH($A35,PO!$V$12:$V$227,0)),2)+10^-12</f>
        <v>9.9999999999999998E-13</v>
      </c>
      <c r="L35" s="375"/>
      <c r="M35" s="377"/>
      <c r="N35" s="379"/>
      <c r="O35" s="204" t="s">
        <v>20</v>
      </c>
      <c r="P35" s="199">
        <f t="shared" ref="P35:W35" ca="1" si="242">IF($B35,ROUND(P34*$N33,2),ROUND(SUMIF(OFFSET($B35,1,0,$D35),TRUE,OFFSET(P35,1,0,$D35))/SUMIF(OFFSET($B35,1,0,$D35),TRUE,OFFSET($K35,1,0,$D35))*$N33,2))</f>
        <v>0</v>
      </c>
      <c r="Q35" s="169">
        <f t="shared" ca="1" si="242"/>
        <v>0</v>
      </c>
      <c r="R35" s="169">
        <f t="shared" ca="1" si="242"/>
        <v>0</v>
      </c>
      <c r="S35" s="169">
        <f t="shared" ca="1" si="242"/>
        <v>0</v>
      </c>
      <c r="T35" s="169">
        <f t="shared" ca="1" si="242"/>
        <v>0</v>
      </c>
      <c r="U35" s="169">
        <f t="shared" ca="1" si="242"/>
        <v>0</v>
      </c>
      <c r="V35" s="169">
        <f t="shared" ca="1" si="242"/>
        <v>0</v>
      </c>
      <c r="W35" s="207">
        <f t="shared" ca="1" si="242"/>
        <v>0</v>
      </c>
      <c r="X35" s="199">
        <f t="shared" ref="X35" ca="1" si="243">IF($B35,ROUND(X34*$N33,2),ROUND(SUMIF(OFFSET($B35,1,0,$D35),TRUE,OFFSET(X35,1,0,$D35))/SUMIF(OFFSET($B35,1,0,$D35),TRUE,OFFSET($K35,1,0,$D35))*$N33,2))</f>
        <v>0</v>
      </c>
      <c r="Y35" s="169">
        <f t="shared" ref="Y35" ca="1" si="244">IF($B35,ROUND(Y34*$N33,2),ROUND(SUMIF(OFFSET($B35,1,0,$D35),TRUE,OFFSET(Y35,1,0,$D35))/SUMIF(OFFSET($B35,1,0,$D35),TRUE,OFFSET($K35,1,0,$D35))*$N33,2))</f>
        <v>0</v>
      </c>
      <c r="Z35" s="169">
        <f t="shared" ref="Z35" ca="1" si="245">IF($B35,ROUND(Z34*$N33,2),ROUND(SUMIF(OFFSET($B35,1,0,$D35),TRUE,OFFSET(Z35,1,0,$D35))/SUMIF(OFFSET($B35,1,0,$D35),TRUE,OFFSET($K35,1,0,$D35))*$N33,2))</f>
        <v>0</v>
      </c>
      <c r="AA35" s="169">
        <f t="shared" ref="AA35" ca="1" si="246">IF($B35,ROUND(AA34*$N33,2),ROUND(SUMIF(OFFSET($B35,1,0,$D35),TRUE,OFFSET(AA35,1,0,$D35))/SUMIF(OFFSET($B35,1,0,$D35),TRUE,OFFSET($K35,1,0,$D35))*$N33,2))</f>
        <v>0</v>
      </c>
      <c r="AB35" s="169">
        <f t="shared" ref="AB35" ca="1" si="247">IF($B35,ROUND(AB34*$N33,2),ROUND(SUMIF(OFFSET($B35,1,0,$D35),TRUE,OFFSET(AB35,1,0,$D35))/SUMIF(OFFSET($B35,1,0,$D35),TRUE,OFFSET($K35,1,0,$D35))*$N33,2))</f>
        <v>0</v>
      </c>
      <c r="AC35" s="169">
        <f t="shared" ref="AC35" ca="1" si="248">IF($B35,ROUND(AC34*$N33,2),ROUND(SUMIF(OFFSET($B35,1,0,$D35),TRUE,OFFSET(AC35,1,0,$D35))/SUMIF(OFFSET($B35,1,0,$D35),TRUE,OFFSET($K35,1,0,$D35))*$N33,2))</f>
        <v>0</v>
      </c>
      <c r="AD35" s="169">
        <f t="shared" ref="AD35" ca="1" si="249">IF($B35,ROUND(AD34*$N33,2),ROUND(SUMIF(OFFSET($B35,1,0,$D35),TRUE,OFFSET(AD35,1,0,$D35))/SUMIF(OFFSET($B35,1,0,$D35),TRUE,OFFSET($K35,1,0,$D35))*$N33,2))</f>
        <v>0</v>
      </c>
      <c r="AE35" s="207">
        <f t="shared" ref="AE35" ca="1" si="250">IF($B35,ROUND(AE34*$N33,2),ROUND(SUMIF(OFFSET($B35,1,0,$D35),TRUE,OFFSET(AE35,1,0,$D35))/SUMIF(OFFSET($B35,1,0,$D35),TRUE,OFFSET($K35,1,0,$D35))*$N33,2))</f>
        <v>0</v>
      </c>
      <c r="AF35" s="196"/>
      <c r="AK35" s="169">
        <f t="shared" ref="AK35" ca="1" si="251">IF($B35,ROUND(AK34*$N33,2),ROUND(SUMIF(OFFSET($B35,1,0,$D35),TRUE,OFFSET(AK35,1,0,$D35))/SUMIF(OFFSET($B35,1,0,$D35),TRUE,OFFSET($K35,1,0,$D35))*$N33,2))</f>
        <v>0</v>
      </c>
    </row>
    <row r="36" spans="1:37" customFormat="1" ht="14.25" customHeight="1" x14ac:dyDescent="0.2">
      <c r="A36" s="82"/>
      <c r="B36" s="82"/>
      <c r="C36" s="82"/>
      <c r="D36" s="82"/>
      <c r="E36" s="82"/>
      <c r="F36" s="82"/>
      <c r="G36" s="82"/>
      <c r="H36" s="82"/>
      <c r="I36" s="82"/>
      <c r="J36" s="82"/>
      <c r="K36" s="82"/>
      <c r="L36" s="374" t="str">
        <f ca="1">INDEX(PO!K$12:K$227,MATCH($A38,PO!$V$12:$V$227,0))</f>
        <v>1.6.</v>
      </c>
      <c r="M36" s="376" t="str">
        <f ca="1">INDEX(PO!N$12:N$227,MATCH($A38,PO!$V$12:$V$227,0))</f>
        <v>SISTEMA DE VEDAÇÃO VERTICAL</v>
      </c>
      <c r="N36" s="378">
        <f t="shared" ref="N36" ca="1" si="252">IF(ROUND(K38,2)=0,K38,ROUND(K38,2))</f>
        <v>9.9999999999999998E-13</v>
      </c>
      <c r="O36" s="220" t="s">
        <v>143</v>
      </c>
      <c r="P36" s="225">
        <f t="shared" ref="P36" ca="1" si="253">IF($B38,0,P37-IF(ISNUMBER(O37),O37,0))</f>
        <v>0</v>
      </c>
      <c r="Q36" s="226">
        <f t="shared" ref="Q36" ca="1" si="254">IF($B38,0,Q37-IF(ISNUMBER(P37),P37,0))</f>
        <v>0</v>
      </c>
      <c r="R36" s="226">
        <f t="shared" ref="R36" ca="1" si="255">IF($B38,0,R37-IF(ISNUMBER(Q37),Q37,0))</f>
        <v>0</v>
      </c>
      <c r="S36" s="226">
        <f t="shared" ref="S36" ca="1" si="256">IF($B38,0,S37-IF(ISNUMBER(R37),R37,0))</f>
        <v>0</v>
      </c>
      <c r="T36" s="226">
        <v>0.25</v>
      </c>
      <c r="U36" s="226">
        <v>0.25</v>
      </c>
      <c r="V36" s="226">
        <v>0.25</v>
      </c>
      <c r="W36" s="227">
        <v>0.25</v>
      </c>
      <c r="X36" s="225">
        <f t="shared" ref="X36" ca="1" si="257">IF($B38,0,X37-IF(ISNUMBER(W37),W37,0))</f>
        <v>0</v>
      </c>
      <c r="Y36" s="226">
        <f t="shared" ref="Y36" ca="1" si="258">IF($B38,0,Y37-IF(ISNUMBER(X37),X37,0))</f>
        <v>0</v>
      </c>
      <c r="Z36" s="226">
        <f t="shared" ref="Z36" ca="1" si="259">IF($B38,0,Z37-IF(ISNUMBER(Y37),Y37,0))</f>
        <v>0</v>
      </c>
      <c r="AA36" s="226">
        <f t="shared" ref="AA36" ca="1" si="260">IF($B38,0,AA37-IF(ISNUMBER(Z37),Z37,0))</f>
        <v>0</v>
      </c>
      <c r="AB36" s="226">
        <f t="shared" ref="AB36" ca="1" si="261">IF($B38,0,AB37-IF(ISNUMBER(AA37),AA37,0))</f>
        <v>0</v>
      </c>
      <c r="AC36" s="226">
        <f t="shared" ref="AC36" ca="1" si="262">IF($B38,0,AC37-IF(ISNUMBER(AB37),AB37,0))</f>
        <v>0</v>
      </c>
      <c r="AD36" s="226">
        <f t="shared" ref="AD36" ca="1" si="263">IF($B38,0,AD37-IF(ISNUMBER(AC37),AC37,0))</f>
        <v>0</v>
      </c>
      <c r="AE36" s="227">
        <f t="shared" ref="AE36" ca="1" si="264">IF($B38,0,AE37-IF(ISNUMBER(AD37),AD37,0))</f>
        <v>0</v>
      </c>
      <c r="AF36" s="196"/>
      <c r="AK36" s="221">
        <f t="shared" ref="AK36" ca="1" si="265">IF($B38,0,AK37-IF(ISNUMBER(AJ37),AJ37,0))</f>
        <v>0</v>
      </c>
    </row>
    <row r="37" spans="1:37" customFormat="1" ht="14.25" x14ac:dyDescent="0.2">
      <c r="A37" s="184"/>
      <c r="B37" s="184"/>
      <c r="C37" s="184"/>
      <c r="D37" s="184"/>
      <c r="E37" s="184"/>
      <c r="F37" s="184"/>
      <c r="G37" s="184"/>
      <c r="H37" s="184"/>
      <c r="I37" s="184"/>
      <c r="J37" s="184"/>
      <c r="K37" s="184"/>
      <c r="L37" s="375"/>
      <c r="M37" s="377"/>
      <c r="N37" s="379"/>
      <c r="O37" s="170" t="s">
        <v>145</v>
      </c>
      <c r="P37" s="198">
        <f t="shared" ref="P37" ca="1" si="266">MIN(IF($B38,P36+IF(ISNUMBER(O37),O37,0),P38/$N36),1)</f>
        <v>0</v>
      </c>
      <c r="Q37" s="168">
        <f t="shared" ref="Q37" ca="1" si="267">MIN(IF($B38,Q36+IF(ISNUMBER(P37),P37,0),Q38/$N36),1)</f>
        <v>0</v>
      </c>
      <c r="R37" s="168">
        <f t="shared" ref="R37" ca="1" si="268">MIN(IF($B38,R36+IF(ISNUMBER(Q37),Q37,0),R38/$N36),1)</f>
        <v>0</v>
      </c>
      <c r="S37" s="168">
        <f t="shared" ref="S37" ca="1" si="269">MIN(IF($B38,S36+IF(ISNUMBER(R37),R37,0),S38/$N36),1)</f>
        <v>0</v>
      </c>
      <c r="T37" s="168">
        <f t="shared" ref="T37" ca="1" si="270">MIN(IF($B38,T36+IF(ISNUMBER(S37),S37,0),T38/$N36),1)</f>
        <v>0.25</v>
      </c>
      <c r="U37" s="168">
        <f t="shared" ref="U37" ca="1" si="271">MIN(IF($B38,U36+IF(ISNUMBER(T37),T37,0),U38/$N36),1)</f>
        <v>0.5</v>
      </c>
      <c r="V37" s="168">
        <f t="shared" ref="V37" ca="1" si="272">MIN(IF($B38,V36+IF(ISNUMBER(U37),U37,0),V38/$N36),1)</f>
        <v>0.75</v>
      </c>
      <c r="W37" s="168">
        <f t="shared" ref="W37" ca="1" si="273">MIN(IF($B38,W36+IF(ISNUMBER(V37),V37,0),W38/$N36),1)</f>
        <v>1</v>
      </c>
      <c r="X37" s="198">
        <f t="shared" ref="X37" ca="1" si="274">MIN(IF($B38,X36+IF(ISNUMBER(W37),W37,0),X38/$N36),1)</f>
        <v>1</v>
      </c>
      <c r="Y37" s="168">
        <f t="shared" ref="Y37" ca="1" si="275">MIN(IF($B38,Y36+IF(ISNUMBER(X37),X37,0),Y38/$N36),1)</f>
        <v>1</v>
      </c>
      <c r="Z37" s="168">
        <f t="shared" ref="Z37" ca="1" si="276">MIN(IF($B38,Z36+IF(ISNUMBER(Y37),Y37,0),Z38/$N36),1)</f>
        <v>1</v>
      </c>
      <c r="AA37" s="168">
        <f t="shared" ref="AA37" ca="1" si="277">MIN(IF($B38,AA36+IF(ISNUMBER(Z37),Z37,0),AA38/$N36),1)</f>
        <v>1</v>
      </c>
      <c r="AB37" s="168">
        <f t="shared" ref="AB37" ca="1" si="278">MIN(IF($B38,AB36+IF(ISNUMBER(AA37),AA37,0),AB38/$N36),1)</f>
        <v>1</v>
      </c>
      <c r="AC37" s="168">
        <f t="shared" ref="AC37" ca="1" si="279">MIN(IF($B38,AC36+IF(ISNUMBER(AB37),AB37,0),AC38/$N36),1)</f>
        <v>1</v>
      </c>
      <c r="AD37" s="168">
        <f t="shared" ref="AD37" ca="1" si="280">MIN(IF($B38,AD36+IF(ISNUMBER(AC37),AC37,0),AD38/$N36),1)</f>
        <v>1</v>
      </c>
      <c r="AE37" s="168">
        <f t="shared" ref="AE37" ca="1" si="281">MIN(IF($B38,AE36+IF(ISNUMBER(AD37),AD37,0),AE38/$N36),1)</f>
        <v>1</v>
      </c>
      <c r="AF37" s="196"/>
      <c r="AK37" s="168">
        <f t="shared" ref="AK37" ca="1" si="282">MIN(IF($B38,AK36+IF(ISNUMBER(AJ37),AJ37,0),AK38/$N36),1)</f>
        <v>0</v>
      </c>
    </row>
    <row r="38" spans="1:37" customFormat="1" ht="14.25" x14ac:dyDescent="0.2">
      <c r="A38" s="184">
        <f ca="1">OFFSET(A38,-CFF.NumLinha,0)+1</f>
        <v>7</v>
      </c>
      <c r="B38" s="184" t="b">
        <f ca="1">$C38&gt;=OFFSET($C38,CFF.NumLinha,0)</f>
        <v>1</v>
      </c>
      <c r="C38" s="184">
        <f ca="1">INDEX(PO!A$12:A$227,MATCH($A38,PO!$V$12:$V$227,0))</f>
        <v>2</v>
      </c>
      <c r="D38" s="184">
        <f t="shared" ref="D38" ca="1" si="283">IF(ISERROR(J38),I38,SMALL(I38:J38,1))-1</f>
        <v>2</v>
      </c>
      <c r="E38" s="184">
        <f ca="1">IF($C38=1,OFFSET(E38,-CFF.NumLinha,0)+1,OFFSET(E38,-CFF.NumLinha,0))</f>
        <v>1</v>
      </c>
      <c r="F38" s="184">
        <f ca="1">IF($C38=1,0,IF($C38=2,OFFSET(F38,-CFF.NumLinha,0)+1,OFFSET(F38,-CFF.NumLinha,0)))</f>
        <v>6</v>
      </c>
      <c r="G38" s="184">
        <f ca="1">IF(AND($C38&lt;=2,$C38&lt;&gt;0),0,IF($C38=3,OFFSET(G38,-CFF.NumLinha,0)+1,OFFSET(G38,-CFF.NumLinha,0)))</f>
        <v>0</v>
      </c>
      <c r="H38" s="184">
        <f ca="1">IF(AND($C38&lt;=3,$C38&lt;&gt;0),0,IF($C38=4,OFFSET(H38,-CFF.NumLinha,0)+1,OFFSET(H38,-CFF.NumLinha,0)))</f>
        <v>0</v>
      </c>
      <c r="I38" s="184">
        <f t="shared" ref="I38" ca="1" si="284">MATCH(0,OFFSET($D38,1,$C38,ROW($A$75)-ROW($A38)),0)</f>
        <v>37</v>
      </c>
      <c r="J38" s="184">
        <f t="shared" ref="J38" ca="1" si="285">MATCH(OFFSET($D38,0,$C38)+1,OFFSET($D38,1,$C38,ROW($A$75)-ROW($A38)),0)</f>
        <v>3</v>
      </c>
      <c r="K38" s="185">
        <f ca="1">ROUND(INDEX(PO!T$12:T$227,MATCH($A38,PO!$V$12:$V$227,0)),2)+10^-12</f>
        <v>9.9999999999999998E-13</v>
      </c>
      <c r="L38" s="375"/>
      <c r="M38" s="377"/>
      <c r="N38" s="379"/>
      <c r="O38" s="204" t="s">
        <v>20</v>
      </c>
      <c r="P38" s="199">
        <f t="shared" ref="P38:W38" ca="1" si="286">IF($B38,ROUND(P37*$N36,2),ROUND(SUMIF(OFFSET($B38,1,0,$D38),TRUE,OFFSET(P38,1,0,$D38))/SUMIF(OFFSET($B38,1,0,$D38),TRUE,OFFSET($K38,1,0,$D38))*$N36,2))</f>
        <v>0</v>
      </c>
      <c r="Q38" s="169">
        <f t="shared" ca="1" si="286"/>
        <v>0</v>
      </c>
      <c r="R38" s="169">
        <f t="shared" ca="1" si="286"/>
        <v>0</v>
      </c>
      <c r="S38" s="169">
        <f t="shared" ca="1" si="286"/>
        <v>0</v>
      </c>
      <c r="T38" s="169">
        <f t="shared" ca="1" si="286"/>
        <v>0</v>
      </c>
      <c r="U38" s="169">
        <f t="shared" ca="1" si="286"/>
        <v>0</v>
      </c>
      <c r="V38" s="169">
        <f t="shared" ca="1" si="286"/>
        <v>0</v>
      </c>
      <c r="W38" s="207">
        <f t="shared" ca="1" si="286"/>
        <v>0</v>
      </c>
      <c r="X38" s="199">
        <f t="shared" ref="X38" ca="1" si="287">IF($B38,ROUND(X37*$N36,2),ROUND(SUMIF(OFFSET($B38,1,0,$D38),TRUE,OFFSET(X38,1,0,$D38))/SUMIF(OFFSET($B38,1,0,$D38),TRUE,OFFSET($K38,1,0,$D38))*$N36,2))</f>
        <v>0</v>
      </c>
      <c r="Y38" s="169">
        <f t="shared" ref="Y38" ca="1" si="288">IF($B38,ROUND(Y37*$N36,2),ROUND(SUMIF(OFFSET($B38,1,0,$D38),TRUE,OFFSET(Y38,1,0,$D38))/SUMIF(OFFSET($B38,1,0,$D38),TRUE,OFFSET($K38,1,0,$D38))*$N36,2))</f>
        <v>0</v>
      </c>
      <c r="Z38" s="169">
        <f t="shared" ref="Z38" ca="1" si="289">IF($B38,ROUND(Z37*$N36,2),ROUND(SUMIF(OFFSET($B38,1,0,$D38),TRUE,OFFSET(Z38,1,0,$D38))/SUMIF(OFFSET($B38,1,0,$D38),TRUE,OFFSET($K38,1,0,$D38))*$N36,2))</f>
        <v>0</v>
      </c>
      <c r="AA38" s="169">
        <f t="shared" ref="AA38" ca="1" si="290">IF($B38,ROUND(AA37*$N36,2),ROUND(SUMIF(OFFSET($B38,1,0,$D38),TRUE,OFFSET(AA38,1,0,$D38))/SUMIF(OFFSET($B38,1,0,$D38),TRUE,OFFSET($K38,1,0,$D38))*$N36,2))</f>
        <v>0</v>
      </c>
      <c r="AB38" s="169">
        <f t="shared" ref="AB38" ca="1" si="291">IF($B38,ROUND(AB37*$N36,2),ROUND(SUMIF(OFFSET($B38,1,0,$D38),TRUE,OFFSET(AB38,1,0,$D38))/SUMIF(OFFSET($B38,1,0,$D38),TRUE,OFFSET($K38,1,0,$D38))*$N36,2))</f>
        <v>0</v>
      </c>
      <c r="AC38" s="169">
        <f t="shared" ref="AC38" ca="1" si="292">IF($B38,ROUND(AC37*$N36,2),ROUND(SUMIF(OFFSET($B38,1,0,$D38),TRUE,OFFSET(AC38,1,0,$D38))/SUMIF(OFFSET($B38,1,0,$D38),TRUE,OFFSET($K38,1,0,$D38))*$N36,2))</f>
        <v>0</v>
      </c>
      <c r="AD38" s="169">
        <f t="shared" ref="AD38" ca="1" si="293">IF($B38,ROUND(AD37*$N36,2),ROUND(SUMIF(OFFSET($B38,1,0,$D38),TRUE,OFFSET(AD38,1,0,$D38))/SUMIF(OFFSET($B38,1,0,$D38),TRUE,OFFSET($K38,1,0,$D38))*$N36,2))</f>
        <v>0</v>
      </c>
      <c r="AE38" s="207">
        <f t="shared" ref="AE38" ca="1" si="294">IF($B38,ROUND(AE37*$N36,2),ROUND(SUMIF(OFFSET($B38,1,0,$D38),TRUE,OFFSET(AE38,1,0,$D38))/SUMIF(OFFSET($B38,1,0,$D38),TRUE,OFFSET($K38,1,0,$D38))*$N36,2))</f>
        <v>0</v>
      </c>
      <c r="AF38" s="196"/>
      <c r="AK38" s="169">
        <f t="shared" ref="AK38" ca="1" si="295">IF($B38,ROUND(AK37*$N36,2),ROUND(SUMIF(OFFSET($B38,1,0,$D38),TRUE,OFFSET(AK38,1,0,$D38))/SUMIF(OFFSET($B38,1,0,$D38),TRUE,OFFSET($K38,1,0,$D38))*$N36,2))</f>
        <v>0</v>
      </c>
    </row>
    <row r="39" spans="1:37" customFormat="1" ht="14.25" customHeight="1" x14ac:dyDescent="0.2">
      <c r="A39" s="82"/>
      <c r="B39" s="82"/>
      <c r="C39" s="82"/>
      <c r="D39" s="82"/>
      <c r="E39" s="82"/>
      <c r="F39" s="82"/>
      <c r="G39" s="82"/>
      <c r="H39" s="82"/>
      <c r="I39" s="82"/>
      <c r="J39" s="82"/>
      <c r="K39" s="82"/>
      <c r="L39" s="374" t="str">
        <f ca="1">INDEX(PO!K$12:K$227,MATCH($A41,PO!$V$12:$V$227,0))</f>
        <v>1.7.</v>
      </c>
      <c r="M39" s="376" t="str">
        <f ca="1">INDEX(PO!N$12:N$227,MATCH($A41,PO!$V$12:$V$227,0))</f>
        <v>ESQUADRIAS</v>
      </c>
      <c r="N39" s="378">
        <f t="shared" ref="N39" ca="1" si="296">IF(ROUND(K41,2)=0,K41,ROUND(K41,2))</f>
        <v>9.9999999999999998E-13</v>
      </c>
      <c r="O39" s="220" t="s">
        <v>143</v>
      </c>
      <c r="P39" s="225">
        <f t="shared" ref="P39" ca="1" si="297">IF($B41,0,P40-IF(ISNUMBER(O40),O40,0))</f>
        <v>0</v>
      </c>
      <c r="Q39" s="226">
        <v>0.2</v>
      </c>
      <c r="R39" s="226">
        <v>0.2</v>
      </c>
      <c r="S39" s="226">
        <v>0.2</v>
      </c>
      <c r="T39" s="226">
        <v>0.2</v>
      </c>
      <c r="U39" s="226">
        <v>0.2</v>
      </c>
      <c r="V39" s="226">
        <f t="shared" ref="V39" ca="1" si="298">IF($B41,0,V40-IF(ISNUMBER(U40),U40,0))</f>
        <v>0</v>
      </c>
      <c r="W39" s="227">
        <f t="shared" ref="W39" ca="1" si="299">IF($B41,0,W40-IF(ISNUMBER(V40),V40,0))</f>
        <v>0</v>
      </c>
      <c r="X39" s="225">
        <f t="shared" ref="X39" ca="1" si="300">IF($B41,0,X40-IF(ISNUMBER(W40),W40,0))</f>
        <v>0</v>
      </c>
      <c r="Y39" s="226">
        <f t="shared" ref="Y39" ca="1" si="301">IF($B41,0,Y40-IF(ISNUMBER(X40),X40,0))</f>
        <v>0</v>
      </c>
      <c r="Z39" s="226">
        <f t="shared" ref="Z39" ca="1" si="302">IF($B41,0,Z40-IF(ISNUMBER(Y40),Y40,0))</f>
        <v>0</v>
      </c>
      <c r="AA39" s="226">
        <f t="shared" ref="AA39" ca="1" si="303">IF($B41,0,AA40-IF(ISNUMBER(Z40),Z40,0))</f>
        <v>0</v>
      </c>
      <c r="AB39" s="226">
        <f t="shared" ref="AB39" ca="1" si="304">IF($B41,0,AB40-IF(ISNUMBER(AA40),AA40,0))</f>
        <v>0</v>
      </c>
      <c r="AC39" s="226">
        <f t="shared" ref="AC39" ca="1" si="305">IF($B41,0,AC40-IF(ISNUMBER(AB40),AB40,0))</f>
        <v>0</v>
      </c>
      <c r="AD39" s="226">
        <f t="shared" ref="AD39" ca="1" si="306">IF($B41,0,AD40-IF(ISNUMBER(AC40),AC40,0))</f>
        <v>0</v>
      </c>
      <c r="AE39" s="227">
        <f t="shared" ref="AE39" ca="1" si="307">IF($B41,0,AE40-IF(ISNUMBER(AD40),AD40,0))</f>
        <v>0</v>
      </c>
      <c r="AF39" s="196"/>
      <c r="AK39" s="221">
        <f t="shared" ref="AK39" ca="1" si="308">IF($B41,0,AK40-IF(ISNUMBER(AJ40),AJ40,0))</f>
        <v>0</v>
      </c>
    </row>
    <row r="40" spans="1:37" customFormat="1" ht="14.25" x14ac:dyDescent="0.2">
      <c r="A40" s="184"/>
      <c r="B40" s="184"/>
      <c r="C40" s="184"/>
      <c r="D40" s="184"/>
      <c r="E40" s="184"/>
      <c r="F40" s="184"/>
      <c r="G40" s="184"/>
      <c r="H40" s="184"/>
      <c r="I40" s="184"/>
      <c r="J40" s="184"/>
      <c r="K40" s="184"/>
      <c r="L40" s="375"/>
      <c r="M40" s="377"/>
      <c r="N40" s="379"/>
      <c r="O40" s="170" t="s">
        <v>145</v>
      </c>
      <c r="P40" s="198">
        <f t="shared" ref="P40" ca="1" si="309">MIN(IF($B41,P39+IF(ISNUMBER(O40),O40,0),P41/$N39),1)</f>
        <v>0</v>
      </c>
      <c r="Q40" s="168">
        <f t="shared" ref="Q40" ca="1" si="310">MIN(IF($B41,Q39+IF(ISNUMBER(P40),P40,0),Q41/$N39),1)</f>
        <v>0.2</v>
      </c>
      <c r="R40" s="168">
        <f t="shared" ref="R40" ca="1" si="311">MIN(IF($B41,R39+IF(ISNUMBER(Q40),Q40,0),R41/$N39),1)</f>
        <v>0.4</v>
      </c>
      <c r="S40" s="168">
        <f t="shared" ref="S40" ca="1" si="312">MIN(IF($B41,S39+IF(ISNUMBER(R40),R40,0),S41/$N39),1)</f>
        <v>0.60000000000000009</v>
      </c>
      <c r="T40" s="168">
        <f t="shared" ref="T40" ca="1" si="313">MIN(IF($B41,T39+IF(ISNUMBER(S40),S40,0),T41/$N39),1)</f>
        <v>0.8</v>
      </c>
      <c r="U40" s="168">
        <f t="shared" ref="U40" ca="1" si="314">MIN(IF($B41,U39+IF(ISNUMBER(T40),T40,0),U41/$N39),1)</f>
        <v>1</v>
      </c>
      <c r="V40" s="168">
        <f t="shared" ref="V40" ca="1" si="315">MIN(IF($B41,V39+IF(ISNUMBER(U40),U40,0),V41/$N39),1)</f>
        <v>1</v>
      </c>
      <c r="W40" s="168">
        <f t="shared" ref="W40" ca="1" si="316">MIN(IF($B41,W39+IF(ISNUMBER(V40),V40,0),W41/$N39),1)</f>
        <v>1</v>
      </c>
      <c r="X40" s="198">
        <f t="shared" ref="X40" ca="1" si="317">MIN(IF($B41,X39+IF(ISNUMBER(W40),W40,0),X41/$N39),1)</f>
        <v>1</v>
      </c>
      <c r="Y40" s="168">
        <f t="shared" ref="Y40" ca="1" si="318">MIN(IF($B41,Y39+IF(ISNUMBER(X40),X40,0),Y41/$N39),1)</f>
        <v>1</v>
      </c>
      <c r="Z40" s="168">
        <f t="shared" ref="Z40" ca="1" si="319">MIN(IF($B41,Z39+IF(ISNUMBER(Y40),Y40,0),Z41/$N39),1)</f>
        <v>1</v>
      </c>
      <c r="AA40" s="168">
        <f t="shared" ref="AA40" ca="1" si="320">MIN(IF($B41,AA39+IF(ISNUMBER(Z40),Z40,0),AA41/$N39),1)</f>
        <v>1</v>
      </c>
      <c r="AB40" s="168">
        <f t="shared" ref="AB40" ca="1" si="321">MIN(IF($B41,AB39+IF(ISNUMBER(AA40),AA40,0),AB41/$N39),1)</f>
        <v>1</v>
      </c>
      <c r="AC40" s="168">
        <f t="shared" ref="AC40" ca="1" si="322">MIN(IF($B41,AC39+IF(ISNUMBER(AB40),AB40,0),AC41/$N39),1)</f>
        <v>1</v>
      </c>
      <c r="AD40" s="168">
        <f t="shared" ref="AD40" ca="1" si="323">MIN(IF($B41,AD39+IF(ISNUMBER(AC40),AC40,0),AD41/$N39),1)</f>
        <v>1</v>
      </c>
      <c r="AE40" s="168">
        <f t="shared" ref="AE40" ca="1" si="324">MIN(IF($B41,AE39+IF(ISNUMBER(AD40),AD40,0),AE41/$N39),1)</f>
        <v>1</v>
      </c>
      <c r="AF40" s="196"/>
      <c r="AK40" s="168">
        <f t="shared" ref="AK40" ca="1" si="325">MIN(IF($B41,AK39+IF(ISNUMBER(AJ40),AJ40,0),AK41/$N39),1)</f>
        <v>0</v>
      </c>
    </row>
    <row r="41" spans="1:37" customFormat="1" ht="14.25" x14ac:dyDescent="0.2">
      <c r="A41" s="184">
        <f ca="1">OFFSET(A41,-CFF.NumLinha,0)+1</f>
        <v>8</v>
      </c>
      <c r="B41" s="184" t="b">
        <f ca="1">$C41&gt;=OFFSET($C41,CFF.NumLinha,0)</f>
        <v>1</v>
      </c>
      <c r="C41" s="184">
        <f ca="1">INDEX(PO!A$12:A$227,MATCH($A41,PO!$V$12:$V$227,0))</f>
        <v>2</v>
      </c>
      <c r="D41" s="184">
        <f t="shared" ref="D41" ca="1" si="326">IF(ISERROR(J41),I41,SMALL(I41:J41,1))-1</f>
        <v>2</v>
      </c>
      <c r="E41" s="184">
        <f ca="1">IF($C41=1,OFFSET(E41,-CFF.NumLinha,0)+1,OFFSET(E41,-CFF.NumLinha,0))</f>
        <v>1</v>
      </c>
      <c r="F41" s="184">
        <f ca="1">IF($C41=1,0,IF($C41=2,OFFSET(F41,-CFF.NumLinha,0)+1,OFFSET(F41,-CFF.NumLinha,0)))</f>
        <v>7</v>
      </c>
      <c r="G41" s="184">
        <f ca="1">IF(AND($C41&lt;=2,$C41&lt;&gt;0),0,IF($C41=3,OFFSET(G41,-CFF.NumLinha,0)+1,OFFSET(G41,-CFF.NumLinha,0)))</f>
        <v>0</v>
      </c>
      <c r="H41" s="184">
        <f ca="1">IF(AND($C41&lt;=3,$C41&lt;&gt;0),0,IF($C41=4,OFFSET(H41,-CFF.NumLinha,0)+1,OFFSET(H41,-CFF.NumLinha,0)))</f>
        <v>0</v>
      </c>
      <c r="I41" s="184">
        <f t="shared" ref="I41" ca="1" si="327">MATCH(0,OFFSET($D41,1,$C41,ROW($A$75)-ROW($A41)),0)</f>
        <v>34</v>
      </c>
      <c r="J41" s="184">
        <f t="shared" ref="J41" ca="1" si="328">MATCH(OFFSET($D41,0,$C41)+1,OFFSET($D41,1,$C41,ROW($A$75)-ROW($A41)),0)</f>
        <v>3</v>
      </c>
      <c r="K41" s="185">
        <f ca="1">ROUND(INDEX(PO!T$12:T$227,MATCH($A41,PO!$V$12:$V$227,0)),2)+10^-12</f>
        <v>9.9999999999999998E-13</v>
      </c>
      <c r="L41" s="375"/>
      <c r="M41" s="377"/>
      <c r="N41" s="379"/>
      <c r="O41" s="204" t="s">
        <v>20</v>
      </c>
      <c r="P41" s="199">
        <f t="shared" ref="P41:W41" ca="1" si="329">IF($B41,ROUND(P40*$N39,2),ROUND(SUMIF(OFFSET($B41,1,0,$D41),TRUE,OFFSET(P41,1,0,$D41))/SUMIF(OFFSET($B41,1,0,$D41),TRUE,OFFSET($K41,1,0,$D41))*$N39,2))</f>
        <v>0</v>
      </c>
      <c r="Q41" s="169">
        <f t="shared" ca="1" si="329"/>
        <v>0</v>
      </c>
      <c r="R41" s="169">
        <f t="shared" ca="1" si="329"/>
        <v>0</v>
      </c>
      <c r="S41" s="169">
        <f t="shared" ca="1" si="329"/>
        <v>0</v>
      </c>
      <c r="T41" s="169">
        <f t="shared" ca="1" si="329"/>
        <v>0</v>
      </c>
      <c r="U41" s="169">
        <f t="shared" ca="1" si="329"/>
        <v>0</v>
      </c>
      <c r="V41" s="169">
        <f t="shared" ca="1" si="329"/>
        <v>0</v>
      </c>
      <c r="W41" s="207">
        <f t="shared" ca="1" si="329"/>
        <v>0</v>
      </c>
      <c r="X41" s="199">
        <f t="shared" ref="X41" ca="1" si="330">IF($B41,ROUND(X40*$N39,2),ROUND(SUMIF(OFFSET($B41,1,0,$D41),TRUE,OFFSET(X41,1,0,$D41))/SUMIF(OFFSET($B41,1,0,$D41),TRUE,OFFSET($K41,1,0,$D41))*$N39,2))</f>
        <v>0</v>
      </c>
      <c r="Y41" s="169">
        <f t="shared" ref="Y41" ca="1" si="331">IF($B41,ROUND(Y40*$N39,2),ROUND(SUMIF(OFFSET($B41,1,0,$D41),TRUE,OFFSET(Y41,1,0,$D41))/SUMIF(OFFSET($B41,1,0,$D41),TRUE,OFFSET($K41,1,0,$D41))*$N39,2))</f>
        <v>0</v>
      </c>
      <c r="Z41" s="169">
        <f t="shared" ref="Z41" ca="1" si="332">IF($B41,ROUND(Z40*$N39,2),ROUND(SUMIF(OFFSET($B41,1,0,$D41),TRUE,OFFSET(Z41,1,0,$D41))/SUMIF(OFFSET($B41,1,0,$D41),TRUE,OFFSET($K41,1,0,$D41))*$N39,2))</f>
        <v>0</v>
      </c>
      <c r="AA41" s="169">
        <f t="shared" ref="AA41" ca="1" si="333">IF($B41,ROUND(AA40*$N39,2),ROUND(SUMIF(OFFSET($B41,1,0,$D41),TRUE,OFFSET(AA41,1,0,$D41))/SUMIF(OFFSET($B41,1,0,$D41),TRUE,OFFSET($K41,1,0,$D41))*$N39,2))</f>
        <v>0</v>
      </c>
      <c r="AB41" s="169">
        <f t="shared" ref="AB41" ca="1" si="334">IF($B41,ROUND(AB40*$N39,2),ROUND(SUMIF(OFFSET($B41,1,0,$D41),TRUE,OFFSET(AB41,1,0,$D41))/SUMIF(OFFSET($B41,1,0,$D41),TRUE,OFFSET($K41,1,0,$D41))*$N39,2))</f>
        <v>0</v>
      </c>
      <c r="AC41" s="169">
        <f t="shared" ref="AC41" ca="1" si="335">IF($B41,ROUND(AC40*$N39,2),ROUND(SUMIF(OFFSET($B41,1,0,$D41),TRUE,OFFSET(AC41,1,0,$D41))/SUMIF(OFFSET($B41,1,0,$D41),TRUE,OFFSET($K41,1,0,$D41))*$N39,2))</f>
        <v>0</v>
      </c>
      <c r="AD41" s="169">
        <f t="shared" ref="AD41" ca="1" si="336">IF($B41,ROUND(AD40*$N39,2),ROUND(SUMIF(OFFSET($B41,1,0,$D41),TRUE,OFFSET(AD41,1,0,$D41))/SUMIF(OFFSET($B41,1,0,$D41),TRUE,OFFSET($K41,1,0,$D41))*$N39,2))</f>
        <v>0</v>
      </c>
      <c r="AE41" s="207">
        <f t="shared" ref="AE41" ca="1" si="337">IF($B41,ROUND(AE40*$N39,2),ROUND(SUMIF(OFFSET($B41,1,0,$D41),TRUE,OFFSET(AE41,1,0,$D41))/SUMIF(OFFSET($B41,1,0,$D41),TRUE,OFFSET($K41,1,0,$D41))*$N39,2))</f>
        <v>0</v>
      </c>
      <c r="AF41" s="196"/>
      <c r="AK41" s="169">
        <f t="shared" ref="AK41" ca="1" si="338">IF($B41,ROUND(AK40*$N39,2),ROUND(SUMIF(OFFSET($B41,1,0,$D41),TRUE,OFFSET(AK41,1,0,$D41))/SUMIF(OFFSET($B41,1,0,$D41),TRUE,OFFSET($K41,1,0,$D41))*$N39,2))</f>
        <v>0</v>
      </c>
    </row>
    <row r="42" spans="1:37" customFormat="1" ht="14.25" customHeight="1" x14ac:dyDescent="0.2">
      <c r="A42" s="82"/>
      <c r="B42" s="82"/>
      <c r="C42" s="82"/>
      <c r="D42" s="82"/>
      <c r="E42" s="82"/>
      <c r="F42" s="82"/>
      <c r="G42" s="82"/>
      <c r="H42" s="82"/>
      <c r="I42" s="82"/>
      <c r="J42" s="82"/>
      <c r="K42" s="82"/>
      <c r="L42" s="374" t="str">
        <f ca="1">INDEX(PO!K$12:K$227,MATCH($A44,PO!$V$12:$V$227,0))</f>
        <v>1.8.</v>
      </c>
      <c r="M42" s="376" t="str">
        <f ca="1">INDEX(PO!N$12:N$227,MATCH($A44,PO!$V$12:$V$227,0))</f>
        <v>IMPERMEABILIZAÇÃO, REVESTIMENTOS INTERNOS E INTERNOS</v>
      </c>
      <c r="N42" s="378">
        <f t="shared" ref="N42" ca="1" si="339">IF(ROUND(K44,2)=0,K44,ROUND(K44,2))</f>
        <v>9.9999999999999998E-13</v>
      </c>
      <c r="O42" s="220" t="s">
        <v>143</v>
      </c>
      <c r="P42" s="225">
        <f t="shared" ref="P42" ca="1" si="340">IF($B44,0,P43-IF(ISNUMBER(O43),O43,0))</f>
        <v>0</v>
      </c>
      <c r="Q42" s="226">
        <f t="shared" ref="Q42" ca="1" si="341">IF($B44,0,Q43-IF(ISNUMBER(P43),P43,0))</f>
        <v>0</v>
      </c>
      <c r="R42" s="226">
        <f t="shared" ref="R42" ca="1" si="342">IF($B44,0,R43-IF(ISNUMBER(Q43),Q43,0))</f>
        <v>0</v>
      </c>
      <c r="S42" s="226">
        <f t="shared" ref="S42" ca="1" si="343">IF($B44,0,S43-IF(ISNUMBER(R43),R43,0))</f>
        <v>0</v>
      </c>
      <c r="T42" s="226">
        <f t="shared" ref="T42" ca="1" si="344">IF($B44,0,T43-IF(ISNUMBER(S43),S43,0))</f>
        <v>0</v>
      </c>
      <c r="U42" s="226">
        <v>0.2</v>
      </c>
      <c r="V42" s="226">
        <v>0.4</v>
      </c>
      <c r="W42" s="227">
        <v>0.2</v>
      </c>
      <c r="X42" s="225">
        <v>0.2</v>
      </c>
      <c r="Y42" s="226">
        <f t="shared" ref="Y42" ca="1" si="345">IF($B44,0,Y43-IF(ISNUMBER(X43),X43,0))</f>
        <v>0</v>
      </c>
      <c r="Z42" s="226">
        <f t="shared" ref="Z42" ca="1" si="346">IF($B44,0,Z43-IF(ISNUMBER(Y43),Y43,0))</f>
        <v>0</v>
      </c>
      <c r="AA42" s="226">
        <f t="shared" ref="AA42" ca="1" si="347">IF($B44,0,AA43-IF(ISNUMBER(Z43),Z43,0))</f>
        <v>0</v>
      </c>
      <c r="AB42" s="226">
        <f t="shared" ref="AB42" ca="1" si="348">IF($B44,0,AB43-IF(ISNUMBER(AA43),AA43,0))</f>
        <v>0</v>
      </c>
      <c r="AC42" s="226">
        <f t="shared" ref="AC42" ca="1" si="349">IF($B44,0,AC43-IF(ISNUMBER(AB43),AB43,0))</f>
        <v>0</v>
      </c>
      <c r="AD42" s="226">
        <f t="shared" ref="AD42" ca="1" si="350">IF($B44,0,AD43-IF(ISNUMBER(AC43),AC43,0))</f>
        <v>0</v>
      </c>
      <c r="AE42" s="227">
        <f t="shared" ref="AE42" ca="1" si="351">IF($B44,0,AE43-IF(ISNUMBER(AD43),AD43,0))</f>
        <v>0</v>
      </c>
      <c r="AF42" s="196"/>
      <c r="AK42" s="221">
        <f t="shared" ref="AK42" ca="1" si="352">IF($B44,0,AK43-IF(ISNUMBER(AJ43),AJ43,0))</f>
        <v>0</v>
      </c>
    </row>
    <row r="43" spans="1:37" customFormat="1" ht="14.25" x14ac:dyDescent="0.2">
      <c r="A43" s="184"/>
      <c r="B43" s="184"/>
      <c r="C43" s="184"/>
      <c r="D43" s="184"/>
      <c r="E43" s="184"/>
      <c r="F43" s="184"/>
      <c r="G43" s="184"/>
      <c r="H43" s="184"/>
      <c r="I43" s="184"/>
      <c r="J43" s="184"/>
      <c r="K43" s="184"/>
      <c r="L43" s="375"/>
      <c r="M43" s="377"/>
      <c r="N43" s="379"/>
      <c r="O43" s="170" t="s">
        <v>145</v>
      </c>
      <c r="P43" s="198">
        <f t="shared" ref="P43" ca="1" si="353">MIN(IF($B44,P42+IF(ISNUMBER(O43),O43,0),P44/$N42),1)</f>
        <v>0</v>
      </c>
      <c r="Q43" s="168">
        <f t="shared" ref="Q43" ca="1" si="354">MIN(IF($B44,Q42+IF(ISNUMBER(P43),P43,0),Q44/$N42),1)</f>
        <v>0</v>
      </c>
      <c r="R43" s="168">
        <f t="shared" ref="R43" ca="1" si="355">MIN(IF($B44,R42+IF(ISNUMBER(Q43),Q43,0),R44/$N42),1)</f>
        <v>0</v>
      </c>
      <c r="S43" s="168">
        <f t="shared" ref="S43" ca="1" si="356">MIN(IF($B44,S42+IF(ISNUMBER(R43),R43,0),S44/$N42),1)</f>
        <v>0</v>
      </c>
      <c r="T43" s="168">
        <f t="shared" ref="T43" ca="1" si="357">MIN(IF($B44,T42+IF(ISNUMBER(S43),S43,0),T44/$N42),1)</f>
        <v>0</v>
      </c>
      <c r="U43" s="168">
        <f t="shared" ref="U43" ca="1" si="358">MIN(IF($B44,U42+IF(ISNUMBER(T43),T43,0),U44/$N42),1)</f>
        <v>0.2</v>
      </c>
      <c r="V43" s="168">
        <f t="shared" ref="V43" ca="1" si="359">MIN(IF($B44,V42+IF(ISNUMBER(U43),U43,0),V44/$N42),1)</f>
        <v>0.60000000000000009</v>
      </c>
      <c r="W43" s="168">
        <f t="shared" ref="W43" ca="1" si="360">MIN(IF($B44,W42+IF(ISNUMBER(V43),V43,0),W44/$N42),1)</f>
        <v>0.8</v>
      </c>
      <c r="X43" s="198">
        <f t="shared" ref="X43" ca="1" si="361">MIN(IF($B44,X42+IF(ISNUMBER(W43),W43,0),X44/$N42),1)</f>
        <v>1</v>
      </c>
      <c r="Y43" s="168">
        <f t="shared" ref="Y43" ca="1" si="362">MIN(IF($B44,Y42+IF(ISNUMBER(X43),X43,0),Y44/$N42),1)</f>
        <v>1</v>
      </c>
      <c r="Z43" s="168">
        <f t="shared" ref="Z43" ca="1" si="363">MIN(IF($B44,Z42+IF(ISNUMBER(Y43),Y43,0),Z44/$N42),1)</f>
        <v>1</v>
      </c>
      <c r="AA43" s="168">
        <f t="shared" ref="AA43" ca="1" si="364">MIN(IF($B44,AA42+IF(ISNUMBER(Z43),Z43,0),AA44/$N42),1)</f>
        <v>1</v>
      </c>
      <c r="AB43" s="168">
        <f t="shared" ref="AB43" ca="1" si="365">MIN(IF($B44,AB42+IF(ISNUMBER(AA43),AA43,0),AB44/$N42),1)</f>
        <v>1</v>
      </c>
      <c r="AC43" s="168">
        <f t="shared" ref="AC43" ca="1" si="366">MIN(IF($B44,AC42+IF(ISNUMBER(AB43),AB43,0),AC44/$N42),1)</f>
        <v>1</v>
      </c>
      <c r="AD43" s="168">
        <f t="shared" ref="AD43" ca="1" si="367">MIN(IF($B44,AD42+IF(ISNUMBER(AC43),AC43,0),AD44/$N42),1)</f>
        <v>1</v>
      </c>
      <c r="AE43" s="168">
        <f t="shared" ref="AE43" ca="1" si="368">MIN(IF($B44,AE42+IF(ISNUMBER(AD43),AD43,0),AE44/$N42),1)</f>
        <v>1</v>
      </c>
      <c r="AF43" s="196"/>
      <c r="AK43" s="168">
        <f t="shared" ref="AK43" ca="1" si="369">MIN(IF($B44,AK42+IF(ISNUMBER(AJ43),AJ43,0),AK44/$N42),1)</f>
        <v>0</v>
      </c>
    </row>
    <row r="44" spans="1:37" customFormat="1" ht="14.25" x14ac:dyDescent="0.2">
      <c r="A44" s="184">
        <f ca="1">OFFSET(A44,-CFF.NumLinha,0)+1</f>
        <v>9</v>
      </c>
      <c r="B44" s="184" t="b">
        <f ca="1">$C44&gt;=OFFSET($C44,CFF.NumLinha,0)</f>
        <v>1</v>
      </c>
      <c r="C44" s="184">
        <f ca="1">INDEX(PO!A$12:A$227,MATCH($A44,PO!$V$12:$V$227,0))</f>
        <v>2</v>
      </c>
      <c r="D44" s="184">
        <f t="shared" ref="D44" ca="1" si="370">IF(ISERROR(J44),I44,SMALL(I44:J44,1))-1</f>
        <v>2</v>
      </c>
      <c r="E44" s="184">
        <f ca="1">IF($C44=1,OFFSET(E44,-CFF.NumLinha,0)+1,OFFSET(E44,-CFF.NumLinha,0))</f>
        <v>1</v>
      </c>
      <c r="F44" s="184">
        <f ca="1">IF($C44=1,0,IF($C44=2,OFFSET(F44,-CFF.NumLinha,0)+1,OFFSET(F44,-CFF.NumLinha,0)))</f>
        <v>8</v>
      </c>
      <c r="G44" s="184">
        <f ca="1">IF(AND($C44&lt;=2,$C44&lt;&gt;0),0,IF($C44=3,OFFSET(G44,-CFF.NumLinha,0)+1,OFFSET(G44,-CFF.NumLinha,0)))</f>
        <v>0</v>
      </c>
      <c r="H44" s="184">
        <f ca="1">IF(AND($C44&lt;=3,$C44&lt;&gt;0),0,IF($C44=4,OFFSET(H44,-CFF.NumLinha,0)+1,OFFSET(H44,-CFF.NumLinha,0)))</f>
        <v>0</v>
      </c>
      <c r="I44" s="184">
        <f t="shared" ref="I44" ca="1" si="371">MATCH(0,OFFSET($D44,1,$C44,ROW($A$75)-ROW($A44)),0)</f>
        <v>31</v>
      </c>
      <c r="J44" s="184">
        <f t="shared" ref="J44" ca="1" si="372">MATCH(OFFSET($D44,0,$C44)+1,OFFSET($D44,1,$C44,ROW($A$75)-ROW($A44)),0)</f>
        <v>3</v>
      </c>
      <c r="K44" s="185">
        <f ca="1">ROUND(INDEX(PO!T$12:T$227,MATCH($A44,PO!$V$12:$V$227,0)),2)+10^-12</f>
        <v>9.9999999999999998E-13</v>
      </c>
      <c r="L44" s="375"/>
      <c r="M44" s="377"/>
      <c r="N44" s="379"/>
      <c r="O44" s="204" t="s">
        <v>20</v>
      </c>
      <c r="P44" s="199">
        <f t="shared" ref="P44:W44" ca="1" si="373">IF($B44,ROUND(P43*$N42,2),ROUND(SUMIF(OFFSET($B44,1,0,$D44),TRUE,OFFSET(P44,1,0,$D44))/SUMIF(OFFSET($B44,1,0,$D44),TRUE,OFFSET($K44,1,0,$D44))*$N42,2))</f>
        <v>0</v>
      </c>
      <c r="Q44" s="169">
        <f t="shared" ca="1" si="373"/>
        <v>0</v>
      </c>
      <c r="R44" s="169">
        <f t="shared" ca="1" si="373"/>
        <v>0</v>
      </c>
      <c r="S44" s="169">
        <f t="shared" ca="1" si="373"/>
        <v>0</v>
      </c>
      <c r="T44" s="169">
        <f t="shared" ca="1" si="373"/>
        <v>0</v>
      </c>
      <c r="U44" s="169">
        <f t="shared" ca="1" si="373"/>
        <v>0</v>
      </c>
      <c r="V44" s="169">
        <f t="shared" ca="1" si="373"/>
        <v>0</v>
      </c>
      <c r="W44" s="207">
        <f t="shared" ca="1" si="373"/>
        <v>0</v>
      </c>
      <c r="X44" s="199">
        <f t="shared" ref="X44" ca="1" si="374">IF($B44,ROUND(X43*$N42,2),ROUND(SUMIF(OFFSET($B44,1,0,$D44),TRUE,OFFSET(X44,1,0,$D44))/SUMIF(OFFSET($B44,1,0,$D44),TRUE,OFFSET($K44,1,0,$D44))*$N42,2))</f>
        <v>0</v>
      </c>
      <c r="Y44" s="169">
        <f t="shared" ref="Y44" ca="1" si="375">IF($B44,ROUND(Y43*$N42,2),ROUND(SUMIF(OFFSET($B44,1,0,$D44),TRUE,OFFSET(Y44,1,0,$D44))/SUMIF(OFFSET($B44,1,0,$D44),TRUE,OFFSET($K44,1,0,$D44))*$N42,2))</f>
        <v>0</v>
      </c>
      <c r="Z44" s="169">
        <f t="shared" ref="Z44" ca="1" si="376">IF($B44,ROUND(Z43*$N42,2),ROUND(SUMIF(OFFSET($B44,1,0,$D44),TRUE,OFFSET(Z44,1,0,$D44))/SUMIF(OFFSET($B44,1,0,$D44),TRUE,OFFSET($K44,1,0,$D44))*$N42,2))</f>
        <v>0</v>
      </c>
      <c r="AA44" s="169">
        <f t="shared" ref="AA44" ca="1" si="377">IF($B44,ROUND(AA43*$N42,2),ROUND(SUMIF(OFFSET($B44,1,0,$D44),TRUE,OFFSET(AA44,1,0,$D44))/SUMIF(OFFSET($B44,1,0,$D44),TRUE,OFFSET($K44,1,0,$D44))*$N42,2))</f>
        <v>0</v>
      </c>
      <c r="AB44" s="169">
        <f t="shared" ref="AB44" ca="1" si="378">IF($B44,ROUND(AB43*$N42,2),ROUND(SUMIF(OFFSET($B44,1,0,$D44),TRUE,OFFSET(AB44,1,0,$D44))/SUMIF(OFFSET($B44,1,0,$D44),TRUE,OFFSET($K44,1,0,$D44))*$N42,2))</f>
        <v>0</v>
      </c>
      <c r="AC44" s="169">
        <f t="shared" ref="AC44" ca="1" si="379">IF($B44,ROUND(AC43*$N42,2),ROUND(SUMIF(OFFSET($B44,1,0,$D44),TRUE,OFFSET(AC44,1,0,$D44))/SUMIF(OFFSET($B44,1,0,$D44),TRUE,OFFSET($K44,1,0,$D44))*$N42,2))</f>
        <v>0</v>
      </c>
      <c r="AD44" s="169">
        <f t="shared" ref="AD44" ca="1" si="380">IF($B44,ROUND(AD43*$N42,2),ROUND(SUMIF(OFFSET($B44,1,0,$D44),TRUE,OFFSET(AD44,1,0,$D44))/SUMIF(OFFSET($B44,1,0,$D44),TRUE,OFFSET($K44,1,0,$D44))*$N42,2))</f>
        <v>0</v>
      </c>
      <c r="AE44" s="207">
        <f t="shared" ref="AE44" ca="1" si="381">IF($B44,ROUND(AE43*$N42,2),ROUND(SUMIF(OFFSET($B44,1,0,$D44),TRUE,OFFSET(AE44,1,0,$D44))/SUMIF(OFFSET($B44,1,0,$D44),TRUE,OFFSET($K44,1,0,$D44))*$N42,2))</f>
        <v>0</v>
      </c>
      <c r="AF44" s="196"/>
      <c r="AK44" s="169">
        <f t="shared" ref="AK44" ca="1" si="382">IF($B44,ROUND(AK43*$N42,2),ROUND(SUMIF(OFFSET($B44,1,0,$D44),TRUE,OFFSET(AK44,1,0,$D44))/SUMIF(OFFSET($B44,1,0,$D44),TRUE,OFFSET($K44,1,0,$D44))*$N42,2))</f>
        <v>0</v>
      </c>
    </row>
    <row r="45" spans="1:37" customFormat="1" ht="14.25" customHeight="1" x14ac:dyDescent="0.2">
      <c r="A45" s="82"/>
      <c r="B45" s="82"/>
      <c r="C45" s="82"/>
      <c r="D45" s="82"/>
      <c r="E45" s="82"/>
      <c r="F45" s="82"/>
      <c r="G45" s="82"/>
      <c r="H45" s="82"/>
      <c r="I45" s="82"/>
      <c r="J45" s="82"/>
      <c r="K45" s="82"/>
      <c r="L45" s="374" t="str">
        <f ca="1">INDEX(PO!K$12:K$227,MATCH($A47,PO!$V$12:$V$227,0))</f>
        <v>1.9.</v>
      </c>
      <c r="M45" s="376" t="str">
        <f ca="1">INDEX(PO!N$12:N$227,MATCH($A47,PO!$V$12:$V$227,0))</f>
        <v>PAVIMENTAÇÃO INTERNA E EXTERNA</v>
      </c>
      <c r="N45" s="378">
        <f t="shared" ref="N45" ca="1" si="383">IF(ROUND(K47,2)=0,K47,ROUND(K47,2))</f>
        <v>9.9999999999999998E-13</v>
      </c>
      <c r="O45" s="220" t="s">
        <v>143</v>
      </c>
      <c r="P45" s="225">
        <f t="shared" ref="P45" ca="1" si="384">IF($B47,0,P46-IF(ISNUMBER(O46),O46,0))</f>
        <v>0</v>
      </c>
      <c r="Q45" s="226">
        <f t="shared" ref="Q45" ca="1" si="385">IF($B47,0,Q46-IF(ISNUMBER(P46),P46,0))</f>
        <v>0</v>
      </c>
      <c r="R45" s="226">
        <f t="shared" ref="R45" ca="1" si="386">IF($B47,0,R46-IF(ISNUMBER(Q46),Q46,0))</f>
        <v>0</v>
      </c>
      <c r="S45" s="226">
        <f t="shared" ref="S45" ca="1" si="387">IF($B47,0,S46-IF(ISNUMBER(R46),R46,0))</f>
        <v>0</v>
      </c>
      <c r="T45" s="226">
        <f t="shared" ref="T45" ca="1" si="388">IF($B47,0,T46-IF(ISNUMBER(S46),S46,0))</f>
        <v>0</v>
      </c>
      <c r="U45" s="226">
        <f t="shared" ref="U45" ca="1" si="389">IF($B47,0,U46-IF(ISNUMBER(T46),T46,0))</f>
        <v>0</v>
      </c>
      <c r="V45" s="226">
        <f t="shared" ref="V45" ca="1" si="390">IF($B47,0,V46-IF(ISNUMBER(U46),U46,0))</f>
        <v>0</v>
      </c>
      <c r="W45" s="227">
        <v>0.2</v>
      </c>
      <c r="X45" s="225">
        <v>0.5</v>
      </c>
      <c r="Y45" s="226">
        <v>0.3</v>
      </c>
      <c r="Z45" s="226">
        <f t="shared" ref="Z45" ca="1" si="391">IF($B47,0,Z46-IF(ISNUMBER(Y46),Y46,0))</f>
        <v>0</v>
      </c>
      <c r="AA45" s="226">
        <f t="shared" ref="AA45" ca="1" si="392">IF($B47,0,AA46-IF(ISNUMBER(Z46),Z46,0))</f>
        <v>0</v>
      </c>
      <c r="AB45" s="226">
        <f t="shared" ref="AB45" ca="1" si="393">IF($B47,0,AB46-IF(ISNUMBER(AA46),AA46,0))</f>
        <v>0</v>
      </c>
      <c r="AC45" s="226">
        <f t="shared" ref="AC45" ca="1" si="394">IF($B47,0,AC46-IF(ISNUMBER(AB46),AB46,0))</f>
        <v>0</v>
      </c>
      <c r="AD45" s="226">
        <f t="shared" ref="AD45" ca="1" si="395">IF($B47,0,AD46-IF(ISNUMBER(AC46),AC46,0))</f>
        <v>0</v>
      </c>
      <c r="AE45" s="227">
        <f t="shared" ref="AE45" ca="1" si="396">IF($B47,0,AE46-IF(ISNUMBER(AD46),AD46,0))</f>
        <v>0</v>
      </c>
      <c r="AF45" s="196"/>
      <c r="AK45" s="221">
        <f t="shared" ref="AK45" ca="1" si="397">IF($B47,0,AK46-IF(ISNUMBER(AJ46),AJ46,0))</f>
        <v>0</v>
      </c>
    </row>
    <row r="46" spans="1:37" customFormat="1" ht="14.25" x14ac:dyDescent="0.2">
      <c r="A46" s="184"/>
      <c r="B46" s="184"/>
      <c r="C46" s="184"/>
      <c r="D46" s="184"/>
      <c r="E46" s="184"/>
      <c r="F46" s="184"/>
      <c r="G46" s="184"/>
      <c r="H46" s="184"/>
      <c r="I46" s="184"/>
      <c r="J46" s="184"/>
      <c r="K46" s="184"/>
      <c r="L46" s="375"/>
      <c r="M46" s="377"/>
      <c r="N46" s="379"/>
      <c r="O46" s="170" t="s">
        <v>145</v>
      </c>
      <c r="P46" s="198">
        <f t="shared" ref="P46" ca="1" si="398">MIN(IF($B47,P45+IF(ISNUMBER(O46),O46,0),P47/$N45),1)</f>
        <v>0</v>
      </c>
      <c r="Q46" s="168">
        <f t="shared" ref="Q46" ca="1" si="399">MIN(IF($B47,Q45+IF(ISNUMBER(P46),P46,0),Q47/$N45),1)</f>
        <v>0</v>
      </c>
      <c r="R46" s="168">
        <f t="shared" ref="R46" ca="1" si="400">MIN(IF($B47,R45+IF(ISNUMBER(Q46),Q46,0),R47/$N45),1)</f>
        <v>0</v>
      </c>
      <c r="S46" s="168">
        <f t="shared" ref="S46" ca="1" si="401">MIN(IF($B47,S45+IF(ISNUMBER(R46),R46,0),S47/$N45),1)</f>
        <v>0</v>
      </c>
      <c r="T46" s="168">
        <f t="shared" ref="T46" ca="1" si="402">MIN(IF($B47,T45+IF(ISNUMBER(S46),S46,0),T47/$N45),1)</f>
        <v>0</v>
      </c>
      <c r="U46" s="168">
        <f t="shared" ref="U46" ca="1" si="403">MIN(IF($B47,U45+IF(ISNUMBER(T46),T46,0),U47/$N45),1)</f>
        <v>0</v>
      </c>
      <c r="V46" s="168">
        <f t="shared" ref="V46" ca="1" si="404">MIN(IF($B47,V45+IF(ISNUMBER(U46),U46,0),V47/$N45),1)</f>
        <v>0</v>
      </c>
      <c r="W46" s="168">
        <f t="shared" ref="W46" ca="1" si="405">MIN(IF($B47,W45+IF(ISNUMBER(V46),V46,0),W47/$N45),1)</f>
        <v>0.2</v>
      </c>
      <c r="X46" s="198">
        <f t="shared" ref="X46" ca="1" si="406">MIN(IF($B47,X45+IF(ISNUMBER(W46),W46,0),X47/$N45),1)</f>
        <v>0.7</v>
      </c>
      <c r="Y46" s="168">
        <f t="shared" ref="Y46" ca="1" si="407">MIN(IF($B47,Y45+IF(ISNUMBER(X46),X46,0),Y47/$N45),1)</f>
        <v>1</v>
      </c>
      <c r="Z46" s="168">
        <f t="shared" ref="Z46" ca="1" si="408">MIN(IF($B47,Z45+IF(ISNUMBER(Y46),Y46,0),Z47/$N45),1)</f>
        <v>1</v>
      </c>
      <c r="AA46" s="168">
        <f t="shared" ref="AA46" ca="1" si="409">MIN(IF($B47,AA45+IF(ISNUMBER(Z46),Z46,0),AA47/$N45),1)</f>
        <v>1</v>
      </c>
      <c r="AB46" s="168">
        <f t="shared" ref="AB46" ca="1" si="410">MIN(IF($B47,AB45+IF(ISNUMBER(AA46),AA46,0),AB47/$N45),1)</f>
        <v>1</v>
      </c>
      <c r="AC46" s="168">
        <f t="shared" ref="AC46" ca="1" si="411">MIN(IF($B47,AC45+IF(ISNUMBER(AB46),AB46,0),AC47/$N45),1)</f>
        <v>1</v>
      </c>
      <c r="AD46" s="168">
        <f t="shared" ref="AD46" ca="1" si="412">MIN(IF($B47,AD45+IF(ISNUMBER(AC46),AC46,0),AD47/$N45),1)</f>
        <v>1</v>
      </c>
      <c r="AE46" s="168">
        <f t="shared" ref="AE46" ca="1" si="413">MIN(IF($B47,AE45+IF(ISNUMBER(AD46),AD46,0),AE47/$N45),1)</f>
        <v>1</v>
      </c>
      <c r="AF46" s="196"/>
      <c r="AK46" s="168">
        <f t="shared" ref="AK46" ca="1" si="414">MIN(IF($B47,AK45+IF(ISNUMBER(AJ46),AJ46,0),AK47/$N45),1)</f>
        <v>0</v>
      </c>
    </row>
    <row r="47" spans="1:37" customFormat="1" ht="14.25" x14ac:dyDescent="0.2">
      <c r="A47" s="184">
        <f ca="1">OFFSET(A47,-CFF.NumLinha,0)+1</f>
        <v>10</v>
      </c>
      <c r="B47" s="184" t="b">
        <f ca="1">$C47&gt;=OFFSET($C47,CFF.NumLinha,0)</f>
        <v>1</v>
      </c>
      <c r="C47" s="184">
        <f ca="1">INDEX(PO!A$12:A$227,MATCH($A47,PO!$V$12:$V$227,0))</f>
        <v>2</v>
      </c>
      <c r="D47" s="184">
        <f t="shared" ref="D47" ca="1" si="415">IF(ISERROR(J47),I47,SMALL(I47:J47,1))-1</f>
        <v>2</v>
      </c>
      <c r="E47" s="184">
        <f ca="1">IF($C47=1,OFFSET(E47,-CFF.NumLinha,0)+1,OFFSET(E47,-CFF.NumLinha,0))</f>
        <v>1</v>
      </c>
      <c r="F47" s="184">
        <f ca="1">IF($C47=1,0,IF($C47=2,OFFSET(F47,-CFF.NumLinha,0)+1,OFFSET(F47,-CFF.NumLinha,0)))</f>
        <v>9</v>
      </c>
      <c r="G47" s="184">
        <f ca="1">IF(AND($C47&lt;=2,$C47&lt;&gt;0),0,IF($C47=3,OFFSET(G47,-CFF.NumLinha,0)+1,OFFSET(G47,-CFF.NumLinha,0)))</f>
        <v>0</v>
      </c>
      <c r="H47" s="184">
        <f ca="1">IF(AND($C47&lt;=3,$C47&lt;&gt;0),0,IF($C47=4,OFFSET(H47,-CFF.NumLinha,0)+1,OFFSET(H47,-CFF.NumLinha,0)))</f>
        <v>0</v>
      </c>
      <c r="I47" s="184">
        <f t="shared" ref="I47" ca="1" si="416">MATCH(0,OFFSET($D47,1,$C47,ROW($A$75)-ROW($A47)),0)</f>
        <v>28</v>
      </c>
      <c r="J47" s="184">
        <f t="shared" ref="J47" ca="1" si="417">MATCH(OFFSET($D47,0,$C47)+1,OFFSET($D47,1,$C47,ROW($A$75)-ROW($A47)),0)</f>
        <v>3</v>
      </c>
      <c r="K47" s="185">
        <f ca="1">ROUND(INDEX(PO!T$12:T$227,MATCH($A47,PO!$V$12:$V$227,0)),2)+10^-12</f>
        <v>9.9999999999999998E-13</v>
      </c>
      <c r="L47" s="375"/>
      <c r="M47" s="377"/>
      <c r="N47" s="379"/>
      <c r="O47" s="204" t="s">
        <v>20</v>
      </c>
      <c r="P47" s="199">
        <f t="shared" ref="P47:W47" ca="1" si="418">IF($B47,ROUND(P46*$N45,2),ROUND(SUMIF(OFFSET($B47,1,0,$D47),TRUE,OFFSET(P47,1,0,$D47))/SUMIF(OFFSET($B47,1,0,$D47),TRUE,OFFSET($K47,1,0,$D47))*$N45,2))</f>
        <v>0</v>
      </c>
      <c r="Q47" s="169">
        <f t="shared" ca="1" si="418"/>
        <v>0</v>
      </c>
      <c r="R47" s="169">
        <f t="shared" ca="1" si="418"/>
        <v>0</v>
      </c>
      <c r="S47" s="169">
        <f t="shared" ca="1" si="418"/>
        <v>0</v>
      </c>
      <c r="T47" s="169">
        <f t="shared" ca="1" si="418"/>
        <v>0</v>
      </c>
      <c r="U47" s="169">
        <f t="shared" ca="1" si="418"/>
        <v>0</v>
      </c>
      <c r="V47" s="169">
        <f t="shared" ca="1" si="418"/>
        <v>0</v>
      </c>
      <c r="W47" s="207">
        <f t="shared" ca="1" si="418"/>
        <v>0</v>
      </c>
      <c r="X47" s="199">
        <f t="shared" ref="X47" ca="1" si="419">IF($B47,ROUND(X46*$N45,2),ROUND(SUMIF(OFFSET($B47,1,0,$D47),TRUE,OFFSET(X47,1,0,$D47))/SUMIF(OFFSET($B47,1,0,$D47),TRUE,OFFSET($K47,1,0,$D47))*$N45,2))</f>
        <v>0</v>
      </c>
      <c r="Y47" s="169">
        <f t="shared" ref="Y47" ca="1" si="420">IF($B47,ROUND(Y46*$N45,2),ROUND(SUMIF(OFFSET($B47,1,0,$D47),TRUE,OFFSET(Y47,1,0,$D47))/SUMIF(OFFSET($B47,1,0,$D47),TRUE,OFFSET($K47,1,0,$D47))*$N45,2))</f>
        <v>0</v>
      </c>
      <c r="Z47" s="169">
        <f t="shared" ref="Z47" ca="1" si="421">IF($B47,ROUND(Z46*$N45,2),ROUND(SUMIF(OFFSET($B47,1,0,$D47),TRUE,OFFSET(Z47,1,0,$D47))/SUMIF(OFFSET($B47,1,0,$D47),TRUE,OFFSET($K47,1,0,$D47))*$N45,2))</f>
        <v>0</v>
      </c>
      <c r="AA47" s="169">
        <f t="shared" ref="AA47" ca="1" si="422">IF($B47,ROUND(AA46*$N45,2),ROUND(SUMIF(OFFSET($B47,1,0,$D47),TRUE,OFFSET(AA47,1,0,$D47))/SUMIF(OFFSET($B47,1,0,$D47),TRUE,OFFSET($K47,1,0,$D47))*$N45,2))</f>
        <v>0</v>
      </c>
      <c r="AB47" s="169">
        <f t="shared" ref="AB47" ca="1" si="423">IF($B47,ROUND(AB46*$N45,2),ROUND(SUMIF(OFFSET($B47,1,0,$D47),TRUE,OFFSET(AB47,1,0,$D47))/SUMIF(OFFSET($B47,1,0,$D47),TRUE,OFFSET($K47,1,0,$D47))*$N45,2))</f>
        <v>0</v>
      </c>
      <c r="AC47" s="169">
        <f t="shared" ref="AC47" ca="1" si="424">IF($B47,ROUND(AC46*$N45,2),ROUND(SUMIF(OFFSET($B47,1,0,$D47),TRUE,OFFSET(AC47,1,0,$D47))/SUMIF(OFFSET($B47,1,0,$D47),TRUE,OFFSET($K47,1,0,$D47))*$N45,2))</f>
        <v>0</v>
      </c>
      <c r="AD47" s="169">
        <f t="shared" ref="AD47" ca="1" si="425">IF($B47,ROUND(AD46*$N45,2),ROUND(SUMIF(OFFSET($B47,1,0,$D47),TRUE,OFFSET(AD47,1,0,$D47))/SUMIF(OFFSET($B47,1,0,$D47),TRUE,OFFSET($K47,1,0,$D47))*$N45,2))</f>
        <v>0</v>
      </c>
      <c r="AE47" s="207">
        <f t="shared" ref="AE47" ca="1" si="426">IF($B47,ROUND(AE46*$N45,2),ROUND(SUMIF(OFFSET($B47,1,0,$D47),TRUE,OFFSET(AE47,1,0,$D47))/SUMIF(OFFSET($B47,1,0,$D47),TRUE,OFFSET($K47,1,0,$D47))*$N45,2))</f>
        <v>0</v>
      </c>
      <c r="AF47" s="196"/>
      <c r="AK47" s="169">
        <f t="shared" ref="AK47" ca="1" si="427">IF($B47,ROUND(AK46*$N45,2),ROUND(SUMIF(OFFSET($B47,1,0,$D47),TRUE,OFFSET(AK47,1,0,$D47))/SUMIF(OFFSET($B47,1,0,$D47),TRUE,OFFSET($K47,1,0,$D47))*$N45,2))</f>
        <v>0</v>
      </c>
    </row>
    <row r="48" spans="1:37" customFormat="1" ht="14.25" customHeight="1" x14ac:dyDescent="0.2">
      <c r="A48" s="82"/>
      <c r="B48" s="82"/>
      <c r="C48" s="82"/>
      <c r="D48" s="82"/>
      <c r="E48" s="82"/>
      <c r="F48" s="82"/>
      <c r="G48" s="82"/>
      <c r="H48" s="82"/>
      <c r="I48" s="82"/>
      <c r="J48" s="82"/>
      <c r="K48" s="82"/>
      <c r="L48" s="374" t="str">
        <f ca="1">INDEX(PO!K$12:K$227,MATCH($A50,PO!$V$12:$V$227,0))</f>
        <v>1.10.</v>
      </c>
      <c r="M48" s="376" t="str">
        <f ca="1">INDEX(PO!N$12:N$227,MATCH($A50,PO!$V$12:$V$227,0))</f>
        <v>PINTURAS E ACABAMENTOS</v>
      </c>
      <c r="N48" s="378">
        <f t="shared" ref="N48" ca="1" si="428">IF(ROUND(K50,2)=0,K50,ROUND(K50,2))</f>
        <v>9.9999999999999998E-13</v>
      </c>
      <c r="O48" s="220" t="s">
        <v>143</v>
      </c>
      <c r="P48" s="225">
        <f t="shared" ref="P48" ca="1" si="429">IF($B50,0,P49-IF(ISNUMBER(O49),O49,0))</f>
        <v>0</v>
      </c>
      <c r="Q48" s="226">
        <f t="shared" ref="Q48" ca="1" si="430">IF($B50,0,Q49-IF(ISNUMBER(P49),P49,0))</f>
        <v>0</v>
      </c>
      <c r="R48" s="226">
        <f t="shared" ref="R48" ca="1" si="431">IF($B50,0,R49-IF(ISNUMBER(Q49),Q49,0))</f>
        <v>0</v>
      </c>
      <c r="S48" s="226">
        <f t="shared" ref="S48" ca="1" si="432">IF($B50,0,S49-IF(ISNUMBER(R49),R49,0))</f>
        <v>0</v>
      </c>
      <c r="T48" s="226">
        <v>0.3</v>
      </c>
      <c r="U48" s="226">
        <v>0.3</v>
      </c>
      <c r="V48" s="226">
        <v>0.4</v>
      </c>
      <c r="W48" s="227">
        <f t="shared" ref="W48" ca="1" si="433">IF($B50,0,W49-IF(ISNUMBER(V49),V49,0))</f>
        <v>0</v>
      </c>
      <c r="X48" s="225">
        <f t="shared" ref="X48" ca="1" si="434">IF($B50,0,X49-IF(ISNUMBER(W49),W49,0))</f>
        <v>0</v>
      </c>
      <c r="Y48" s="226">
        <f t="shared" ref="Y48" ca="1" si="435">IF($B50,0,Y49-IF(ISNUMBER(X49),X49,0))</f>
        <v>0</v>
      </c>
      <c r="Z48" s="226">
        <f t="shared" ref="Z48" ca="1" si="436">IF($B50,0,Z49-IF(ISNUMBER(Y49),Y49,0))</f>
        <v>0</v>
      </c>
      <c r="AA48" s="226">
        <f t="shared" ref="AA48" ca="1" si="437">IF($B50,0,AA49-IF(ISNUMBER(Z49),Z49,0))</f>
        <v>0</v>
      </c>
      <c r="AB48" s="226">
        <f t="shared" ref="AB48" ca="1" si="438">IF($B50,0,AB49-IF(ISNUMBER(AA49),AA49,0))</f>
        <v>0</v>
      </c>
      <c r="AC48" s="226">
        <f t="shared" ref="AC48" ca="1" si="439">IF($B50,0,AC49-IF(ISNUMBER(AB49),AB49,0))</f>
        <v>0</v>
      </c>
      <c r="AD48" s="226">
        <f t="shared" ref="AD48" ca="1" si="440">IF($B50,0,AD49-IF(ISNUMBER(AC49),AC49,0))</f>
        <v>0</v>
      </c>
      <c r="AE48" s="227">
        <f t="shared" ref="AE48" ca="1" si="441">IF($B50,0,AE49-IF(ISNUMBER(AD49),AD49,0))</f>
        <v>0</v>
      </c>
      <c r="AF48" s="196"/>
      <c r="AK48" s="221">
        <f t="shared" ref="AK48" ca="1" si="442">IF($B50,0,AK49-IF(ISNUMBER(AJ49),AJ49,0))</f>
        <v>0</v>
      </c>
    </row>
    <row r="49" spans="1:37" customFormat="1" ht="14.25" x14ac:dyDescent="0.2">
      <c r="A49" s="184"/>
      <c r="B49" s="184"/>
      <c r="C49" s="184"/>
      <c r="D49" s="184"/>
      <c r="E49" s="184"/>
      <c r="F49" s="184"/>
      <c r="G49" s="184"/>
      <c r="H49" s="184"/>
      <c r="I49" s="184"/>
      <c r="J49" s="184"/>
      <c r="K49" s="184"/>
      <c r="L49" s="375"/>
      <c r="M49" s="377"/>
      <c r="N49" s="379"/>
      <c r="O49" s="170" t="s">
        <v>145</v>
      </c>
      <c r="P49" s="198">
        <f t="shared" ref="P49" ca="1" si="443">MIN(IF($B50,P48+IF(ISNUMBER(O49),O49,0),P50/$N48),1)</f>
        <v>0</v>
      </c>
      <c r="Q49" s="168">
        <f t="shared" ref="Q49" ca="1" si="444">MIN(IF($B50,Q48+IF(ISNUMBER(P49),P49,0),Q50/$N48),1)</f>
        <v>0</v>
      </c>
      <c r="R49" s="168">
        <f t="shared" ref="R49" ca="1" si="445">MIN(IF($B50,R48+IF(ISNUMBER(Q49),Q49,0),R50/$N48),1)</f>
        <v>0</v>
      </c>
      <c r="S49" s="168">
        <f t="shared" ref="S49" ca="1" si="446">MIN(IF($B50,S48+IF(ISNUMBER(R49),R49,0),S50/$N48),1)</f>
        <v>0</v>
      </c>
      <c r="T49" s="168">
        <f t="shared" ref="T49" ca="1" si="447">MIN(IF($B50,T48+IF(ISNUMBER(S49),S49,0),T50/$N48),1)</f>
        <v>0.3</v>
      </c>
      <c r="U49" s="168">
        <f t="shared" ref="U49" ca="1" si="448">MIN(IF($B50,U48+IF(ISNUMBER(T49),T49,0),U50/$N48),1)</f>
        <v>0.6</v>
      </c>
      <c r="V49" s="168">
        <f t="shared" ref="V49" ca="1" si="449">MIN(IF($B50,V48+IF(ISNUMBER(U49),U49,0),V50/$N48),1)</f>
        <v>1</v>
      </c>
      <c r="W49" s="168">
        <f t="shared" ref="W49" ca="1" si="450">MIN(IF($B50,W48+IF(ISNUMBER(V49),V49,0),W50/$N48),1)</f>
        <v>1</v>
      </c>
      <c r="X49" s="198">
        <f t="shared" ref="X49" ca="1" si="451">MIN(IF($B50,X48+IF(ISNUMBER(W49),W49,0),X50/$N48),1)</f>
        <v>1</v>
      </c>
      <c r="Y49" s="168">
        <f t="shared" ref="Y49" ca="1" si="452">MIN(IF($B50,Y48+IF(ISNUMBER(X49),X49,0),Y50/$N48),1)</f>
        <v>1</v>
      </c>
      <c r="Z49" s="168">
        <f t="shared" ref="Z49" ca="1" si="453">MIN(IF($B50,Z48+IF(ISNUMBER(Y49),Y49,0),Z50/$N48),1)</f>
        <v>1</v>
      </c>
      <c r="AA49" s="168">
        <f t="shared" ref="AA49" ca="1" si="454">MIN(IF($B50,AA48+IF(ISNUMBER(Z49),Z49,0),AA50/$N48),1)</f>
        <v>1</v>
      </c>
      <c r="AB49" s="168">
        <f t="shared" ref="AB49" ca="1" si="455">MIN(IF($B50,AB48+IF(ISNUMBER(AA49),AA49,0),AB50/$N48),1)</f>
        <v>1</v>
      </c>
      <c r="AC49" s="168">
        <f t="shared" ref="AC49" ca="1" si="456">MIN(IF($B50,AC48+IF(ISNUMBER(AB49),AB49,0),AC50/$N48),1)</f>
        <v>1</v>
      </c>
      <c r="AD49" s="168">
        <f t="shared" ref="AD49" ca="1" si="457">MIN(IF($B50,AD48+IF(ISNUMBER(AC49),AC49,0),AD50/$N48),1)</f>
        <v>1</v>
      </c>
      <c r="AE49" s="168">
        <f t="shared" ref="AE49" ca="1" si="458">MIN(IF($B50,AE48+IF(ISNUMBER(AD49),AD49,0),AE50/$N48),1)</f>
        <v>1</v>
      </c>
      <c r="AF49" s="196"/>
      <c r="AK49" s="168">
        <f t="shared" ref="AK49" ca="1" si="459">MIN(IF($B50,AK48+IF(ISNUMBER(AJ49),AJ49,0),AK50/$N48),1)</f>
        <v>0</v>
      </c>
    </row>
    <row r="50" spans="1:37" customFormat="1" ht="14.25" x14ac:dyDescent="0.2">
      <c r="A50" s="184">
        <f ca="1">OFFSET(A50,-CFF.NumLinha,0)+1</f>
        <v>11</v>
      </c>
      <c r="B50" s="184" t="b">
        <f ca="1">$C50&gt;=OFFSET($C50,CFF.NumLinha,0)</f>
        <v>1</v>
      </c>
      <c r="C50" s="184">
        <f ca="1">INDEX(PO!A$12:A$227,MATCH($A50,PO!$V$12:$V$227,0))</f>
        <v>2</v>
      </c>
      <c r="D50" s="184">
        <f t="shared" ref="D50" ca="1" si="460">IF(ISERROR(J50),I50,SMALL(I50:J50,1))-1</f>
        <v>2</v>
      </c>
      <c r="E50" s="184">
        <f ca="1">IF($C50=1,OFFSET(E50,-CFF.NumLinha,0)+1,OFFSET(E50,-CFF.NumLinha,0))</f>
        <v>1</v>
      </c>
      <c r="F50" s="184">
        <f ca="1">IF($C50=1,0,IF($C50=2,OFFSET(F50,-CFF.NumLinha,0)+1,OFFSET(F50,-CFF.NumLinha,0)))</f>
        <v>10</v>
      </c>
      <c r="G50" s="184">
        <f ca="1">IF(AND($C50&lt;=2,$C50&lt;&gt;0),0,IF($C50=3,OFFSET(G50,-CFF.NumLinha,0)+1,OFFSET(G50,-CFF.NumLinha,0)))</f>
        <v>0</v>
      </c>
      <c r="H50" s="184">
        <f ca="1">IF(AND($C50&lt;=3,$C50&lt;&gt;0),0,IF($C50=4,OFFSET(H50,-CFF.NumLinha,0)+1,OFFSET(H50,-CFF.NumLinha,0)))</f>
        <v>0</v>
      </c>
      <c r="I50" s="184">
        <f t="shared" ref="I50" ca="1" si="461">MATCH(0,OFFSET($D50,1,$C50,ROW($A$75)-ROW($A50)),0)</f>
        <v>25</v>
      </c>
      <c r="J50" s="184">
        <f t="shared" ref="J50" ca="1" si="462">MATCH(OFFSET($D50,0,$C50)+1,OFFSET($D50,1,$C50,ROW($A$75)-ROW($A50)),0)</f>
        <v>3</v>
      </c>
      <c r="K50" s="185">
        <f ca="1">ROUND(INDEX(PO!T$12:T$227,MATCH($A50,PO!$V$12:$V$227,0)),2)+10^-12</f>
        <v>9.9999999999999998E-13</v>
      </c>
      <c r="L50" s="375"/>
      <c r="M50" s="377"/>
      <c r="N50" s="379"/>
      <c r="O50" s="204" t="s">
        <v>20</v>
      </c>
      <c r="P50" s="199">
        <f t="shared" ref="P50:W50" ca="1" si="463">IF($B50,ROUND(P49*$N48,2),ROUND(SUMIF(OFFSET($B50,1,0,$D50),TRUE,OFFSET(P50,1,0,$D50))/SUMIF(OFFSET($B50,1,0,$D50),TRUE,OFFSET($K50,1,0,$D50))*$N48,2))</f>
        <v>0</v>
      </c>
      <c r="Q50" s="169">
        <f t="shared" ca="1" si="463"/>
        <v>0</v>
      </c>
      <c r="R50" s="169">
        <f t="shared" ca="1" si="463"/>
        <v>0</v>
      </c>
      <c r="S50" s="169">
        <f t="shared" ca="1" si="463"/>
        <v>0</v>
      </c>
      <c r="T50" s="169">
        <f t="shared" ca="1" si="463"/>
        <v>0</v>
      </c>
      <c r="U50" s="169">
        <f t="shared" ca="1" si="463"/>
        <v>0</v>
      </c>
      <c r="V50" s="169">
        <f t="shared" ca="1" si="463"/>
        <v>0</v>
      </c>
      <c r="W50" s="207">
        <f t="shared" ca="1" si="463"/>
        <v>0</v>
      </c>
      <c r="X50" s="199">
        <f t="shared" ref="X50" ca="1" si="464">IF($B50,ROUND(X49*$N48,2),ROUND(SUMIF(OFFSET($B50,1,0,$D50),TRUE,OFFSET(X50,1,0,$D50))/SUMIF(OFFSET($B50,1,0,$D50),TRUE,OFFSET($K50,1,0,$D50))*$N48,2))</f>
        <v>0</v>
      </c>
      <c r="Y50" s="169">
        <f t="shared" ref="Y50" ca="1" si="465">IF($B50,ROUND(Y49*$N48,2),ROUND(SUMIF(OFFSET($B50,1,0,$D50),TRUE,OFFSET(Y50,1,0,$D50))/SUMIF(OFFSET($B50,1,0,$D50),TRUE,OFFSET($K50,1,0,$D50))*$N48,2))</f>
        <v>0</v>
      </c>
      <c r="Z50" s="169">
        <f t="shared" ref="Z50" ca="1" si="466">IF($B50,ROUND(Z49*$N48,2),ROUND(SUMIF(OFFSET($B50,1,0,$D50),TRUE,OFFSET(Z50,1,0,$D50))/SUMIF(OFFSET($B50,1,0,$D50),TRUE,OFFSET($K50,1,0,$D50))*$N48,2))</f>
        <v>0</v>
      </c>
      <c r="AA50" s="169">
        <f t="shared" ref="AA50" ca="1" si="467">IF($B50,ROUND(AA49*$N48,2),ROUND(SUMIF(OFFSET($B50,1,0,$D50),TRUE,OFFSET(AA50,1,0,$D50))/SUMIF(OFFSET($B50,1,0,$D50),TRUE,OFFSET($K50,1,0,$D50))*$N48,2))</f>
        <v>0</v>
      </c>
      <c r="AB50" s="169">
        <f t="shared" ref="AB50" ca="1" si="468">IF($B50,ROUND(AB49*$N48,2),ROUND(SUMIF(OFFSET($B50,1,0,$D50),TRUE,OFFSET(AB50,1,0,$D50))/SUMIF(OFFSET($B50,1,0,$D50),TRUE,OFFSET($K50,1,0,$D50))*$N48,2))</f>
        <v>0</v>
      </c>
      <c r="AC50" s="169">
        <f t="shared" ref="AC50" ca="1" si="469">IF($B50,ROUND(AC49*$N48,2),ROUND(SUMIF(OFFSET($B50,1,0,$D50),TRUE,OFFSET(AC50,1,0,$D50))/SUMIF(OFFSET($B50,1,0,$D50),TRUE,OFFSET($K50,1,0,$D50))*$N48,2))</f>
        <v>0</v>
      </c>
      <c r="AD50" s="169">
        <f t="shared" ref="AD50" ca="1" si="470">IF($B50,ROUND(AD49*$N48,2),ROUND(SUMIF(OFFSET($B50,1,0,$D50),TRUE,OFFSET(AD50,1,0,$D50))/SUMIF(OFFSET($B50,1,0,$D50),TRUE,OFFSET($K50,1,0,$D50))*$N48,2))</f>
        <v>0</v>
      </c>
      <c r="AE50" s="207">
        <f t="shared" ref="AE50" ca="1" si="471">IF($B50,ROUND(AE49*$N48,2),ROUND(SUMIF(OFFSET($B50,1,0,$D50),TRUE,OFFSET(AE50,1,0,$D50))/SUMIF(OFFSET($B50,1,0,$D50),TRUE,OFFSET($K50,1,0,$D50))*$N48,2))</f>
        <v>0</v>
      </c>
      <c r="AF50" s="196"/>
      <c r="AK50" s="169">
        <f t="shared" ref="AK50" ca="1" si="472">IF($B50,ROUND(AK49*$N48,2),ROUND(SUMIF(OFFSET($B50,1,0,$D50),TRUE,OFFSET(AK50,1,0,$D50))/SUMIF(OFFSET($B50,1,0,$D50),TRUE,OFFSET($K50,1,0,$D50))*$N48,2))</f>
        <v>0</v>
      </c>
    </row>
    <row r="51" spans="1:37" customFormat="1" ht="14.25" customHeight="1" x14ac:dyDescent="0.2">
      <c r="A51" s="82"/>
      <c r="B51" s="82"/>
      <c r="C51" s="82"/>
      <c r="D51" s="82"/>
      <c r="E51" s="82"/>
      <c r="F51" s="82"/>
      <c r="G51" s="82"/>
      <c r="H51" s="82"/>
      <c r="I51" s="82"/>
      <c r="J51" s="82"/>
      <c r="K51" s="82"/>
      <c r="L51" s="374" t="str">
        <f ca="1">INDEX(PO!K$12:K$227,MATCH($A53,PO!$V$12:$V$227,0))</f>
        <v>1.11.</v>
      </c>
      <c r="M51" s="376" t="str">
        <f ca="1">INDEX(PO!N$12:N$227,MATCH($A53,PO!$V$12:$V$227,0))</f>
        <v>INSTALAÇÕES HIDRÁULICAS</v>
      </c>
      <c r="N51" s="378">
        <f t="shared" ref="N51" ca="1" si="473">IF(ROUND(K53,2)=0,K53,ROUND(K53,2))</f>
        <v>9.9999999999999998E-13</v>
      </c>
      <c r="O51" s="220" t="s">
        <v>143</v>
      </c>
      <c r="P51" s="225">
        <f t="shared" ref="P51" ca="1" si="474">IF($B53,0,P52-IF(ISNUMBER(O52),O52,0))</f>
        <v>0</v>
      </c>
      <c r="Q51" s="226">
        <f t="shared" ref="Q51" ca="1" si="475">IF($B53,0,Q52-IF(ISNUMBER(P52),P52,0))</f>
        <v>0</v>
      </c>
      <c r="R51" s="226">
        <f t="shared" ref="R51" ca="1" si="476">IF($B53,0,R52-IF(ISNUMBER(Q52),Q52,0))</f>
        <v>0</v>
      </c>
      <c r="S51" s="226">
        <v>0.3</v>
      </c>
      <c r="T51" s="226">
        <v>0.4</v>
      </c>
      <c r="U51" s="226">
        <v>0.3</v>
      </c>
      <c r="V51" s="226">
        <f t="shared" ref="V51" ca="1" si="477">IF($B53,0,V52-IF(ISNUMBER(U52),U52,0))</f>
        <v>0</v>
      </c>
      <c r="W51" s="227">
        <f t="shared" ref="W51" ca="1" si="478">IF($B53,0,W52-IF(ISNUMBER(V52),V52,0))</f>
        <v>0</v>
      </c>
      <c r="X51" s="225">
        <f t="shared" ref="X51" ca="1" si="479">IF($B53,0,X52-IF(ISNUMBER(W52),W52,0))</f>
        <v>0</v>
      </c>
      <c r="Y51" s="226">
        <f t="shared" ref="Y51" ca="1" si="480">IF($B53,0,Y52-IF(ISNUMBER(X52),X52,0))</f>
        <v>0</v>
      </c>
      <c r="Z51" s="226">
        <f t="shared" ref="Z51" ca="1" si="481">IF($B53,0,Z52-IF(ISNUMBER(Y52),Y52,0))</f>
        <v>0</v>
      </c>
      <c r="AA51" s="226">
        <f t="shared" ref="AA51" ca="1" si="482">IF($B53,0,AA52-IF(ISNUMBER(Z52),Z52,0))</f>
        <v>0</v>
      </c>
      <c r="AB51" s="226">
        <f t="shared" ref="AB51" ca="1" si="483">IF($B53,0,AB52-IF(ISNUMBER(AA52),AA52,0))</f>
        <v>0</v>
      </c>
      <c r="AC51" s="226">
        <f t="shared" ref="AC51" ca="1" si="484">IF($B53,0,AC52-IF(ISNUMBER(AB52),AB52,0))</f>
        <v>0</v>
      </c>
      <c r="AD51" s="226">
        <f t="shared" ref="AD51" ca="1" si="485">IF($B53,0,AD52-IF(ISNUMBER(AC52),AC52,0))</f>
        <v>0</v>
      </c>
      <c r="AE51" s="227">
        <f t="shared" ref="AE51" ca="1" si="486">IF($B53,0,AE52-IF(ISNUMBER(AD52),AD52,0))</f>
        <v>0</v>
      </c>
      <c r="AF51" s="196"/>
      <c r="AK51" s="221">
        <f t="shared" ref="AK51" ca="1" si="487">IF($B53,0,AK52-IF(ISNUMBER(AJ52),AJ52,0))</f>
        <v>0</v>
      </c>
    </row>
    <row r="52" spans="1:37" customFormat="1" ht="14.25" x14ac:dyDescent="0.2">
      <c r="A52" s="184"/>
      <c r="B52" s="184"/>
      <c r="C52" s="184"/>
      <c r="D52" s="184"/>
      <c r="E52" s="184"/>
      <c r="F52" s="184"/>
      <c r="G52" s="184"/>
      <c r="H52" s="184"/>
      <c r="I52" s="184"/>
      <c r="J52" s="184"/>
      <c r="K52" s="184"/>
      <c r="L52" s="375"/>
      <c r="M52" s="377"/>
      <c r="N52" s="379"/>
      <c r="O52" s="170" t="s">
        <v>145</v>
      </c>
      <c r="P52" s="198">
        <f t="shared" ref="P52" ca="1" si="488">MIN(IF($B53,P51+IF(ISNUMBER(O52),O52,0),P53/$N51),1)</f>
        <v>0</v>
      </c>
      <c r="Q52" s="168">
        <f t="shared" ref="Q52" ca="1" si="489">MIN(IF($B53,Q51+IF(ISNUMBER(P52),P52,0),Q53/$N51),1)</f>
        <v>0</v>
      </c>
      <c r="R52" s="168">
        <f t="shared" ref="R52" ca="1" si="490">MIN(IF($B53,R51+IF(ISNUMBER(Q52),Q52,0),R53/$N51),1)</f>
        <v>0</v>
      </c>
      <c r="S52" s="168">
        <f t="shared" ref="S52" ca="1" si="491">MIN(IF($B53,S51+IF(ISNUMBER(R52),R52,0),S53/$N51),1)</f>
        <v>0.3</v>
      </c>
      <c r="T52" s="168">
        <f t="shared" ref="T52" ca="1" si="492">MIN(IF($B53,T51+IF(ISNUMBER(S52),S52,0),T53/$N51),1)</f>
        <v>0.7</v>
      </c>
      <c r="U52" s="168">
        <f t="shared" ref="U52" ca="1" si="493">MIN(IF($B53,U51+IF(ISNUMBER(T52),T52,0),U53/$N51),1)</f>
        <v>1</v>
      </c>
      <c r="V52" s="168">
        <f t="shared" ref="V52" ca="1" si="494">MIN(IF($B53,V51+IF(ISNUMBER(U52),U52,0),V53/$N51),1)</f>
        <v>1</v>
      </c>
      <c r="W52" s="168">
        <f t="shared" ref="W52" ca="1" si="495">MIN(IF($B53,W51+IF(ISNUMBER(V52),V52,0),W53/$N51),1)</f>
        <v>1</v>
      </c>
      <c r="X52" s="198">
        <f t="shared" ref="X52" ca="1" si="496">MIN(IF($B53,X51+IF(ISNUMBER(W52),W52,0),X53/$N51),1)</f>
        <v>1</v>
      </c>
      <c r="Y52" s="168">
        <f t="shared" ref="Y52" ca="1" si="497">MIN(IF($B53,Y51+IF(ISNUMBER(X52),X52,0),Y53/$N51),1)</f>
        <v>1</v>
      </c>
      <c r="Z52" s="168">
        <f t="shared" ref="Z52" ca="1" si="498">MIN(IF($B53,Z51+IF(ISNUMBER(Y52),Y52,0),Z53/$N51),1)</f>
        <v>1</v>
      </c>
      <c r="AA52" s="168">
        <f t="shared" ref="AA52" ca="1" si="499">MIN(IF($B53,AA51+IF(ISNUMBER(Z52),Z52,0),AA53/$N51),1)</f>
        <v>1</v>
      </c>
      <c r="AB52" s="168">
        <f t="shared" ref="AB52" ca="1" si="500">MIN(IF($B53,AB51+IF(ISNUMBER(AA52),AA52,0),AB53/$N51),1)</f>
        <v>1</v>
      </c>
      <c r="AC52" s="168">
        <f t="shared" ref="AC52" ca="1" si="501">MIN(IF($B53,AC51+IF(ISNUMBER(AB52),AB52,0),AC53/$N51),1)</f>
        <v>1</v>
      </c>
      <c r="AD52" s="168">
        <f t="shared" ref="AD52" ca="1" si="502">MIN(IF($B53,AD51+IF(ISNUMBER(AC52),AC52,0),AD53/$N51),1)</f>
        <v>1</v>
      </c>
      <c r="AE52" s="168">
        <f t="shared" ref="AE52" ca="1" si="503">MIN(IF($B53,AE51+IF(ISNUMBER(AD52),AD52,0),AE53/$N51),1)</f>
        <v>1</v>
      </c>
      <c r="AF52" s="196"/>
      <c r="AK52" s="168">
        <f t="shared" ref="AK52" ca="1" si="504">MIN(IF($B53,AK51+IF(ISNUMBER(AJ52),AJ52,0),AK53/$N51),1)</f>
        <v>0</v>
      </c>
    </row>
    <row r="53" spans="1:37" customFormat="1" ht="14.25" x14ac:dyDescent="0.2">
      <c r="A53" s="184">
        <f ca="1">OFFSET(A53,-CFF.NumLinha,0)+1</f>
        <v>12</v>
      </c>
      <c r="B53" s="184" t="b">
        <f ca="1">$C53&gt;=OFFSET($C53,CFF.NumLinha,0)</f>
        <v>1</v>
      </c>
      <c r="C53" s="184">
        <f ca="1">INDEX(PO!A$12:A$227,MATCH($A53,PO!$V$12:$V$227,0))</f>
        <v>2</v>
      </c>
      <c r="D53" s="184">
        <f t="shared" ref="D53" ca="1" si="505">IF(ISERROR(J53),I53,SMALL(I53:J53,1))-1</f>
        <v>2</v>
      </c>
      <c r="E53" s="184">
        <f ca="1">IF($C53=1,OFFSET(E53,-CFF.NumLinha,0)+1,OFFSET(E53,-CFF.NumLinha,0))</f>
        <v>1</v>
      </c>
      <c r="F53" s="184">
        <f ca="1">IF($C53=1,0,IF($C53=2,OFFSET(F53,-CFF.NumLinha,0)+1,OFFSET(F53,-CFF.NumLinha,0)))</f>
        <v>11</v>
      </c>
      <c r="G53" s="184">
        <f ca="1">IF(AND($C53&lt;=2,$C53&lt;&gt;0),0,IF($C53=3,OFFSET(G53,-CFF.NumLinha,0)+1,OFFSET(G53,-CFF.NumLinha,0)))</f>
        <v>0</v>
      </c>
      <c r="H53" s="184">
        <f ca="1">IF(AND($C53&lt;=3,$C53&lt;&gt;0),0,IF($C53=4,OFFSET(H53,-CFF.NumLinha,0)+1,OFFSET(H53,-CFF.NumLinha,0)))</f>
        <v>0</v>
      </c>
      <c r="I53" s="184">
        <f t="shared" ref="I53" ca="1" si="506">MATCH(0,OFFSET($D53,1,$C53,ROW($A$75)-ROW($A53)),0)</f>
        <v>22</v>
      </c>
      <c r="J53" s="184">
        <f t="shared" ref="J53" ca="1" si="507">MATCH(OFFSET($D53,0,$C53)+1,OFFSET($D53,1,$C53,ROW($A$75)-ROW($A53)),0)</f>
        <v>3</v>
      </c>
      <c r="K53" s="185">
        <f ca="1">ROUND(INDEX(PO!T$12:T$227,MATCH($A53,PO!$V$12:$V$227,0)),2)+10^-12</f>
        <v>9.9999999999999998E-13</v>
      </c>
      <c r="L53" s="375"/>
      <c r="M53" s="377"/>
      <c r="N53" s="379"/>
      <c r="O53" s="204" t="s">
        <v>20</v>
      </c>
      <c r="P53" s="199">
        <f t="shared" ref="P53:W53" ca="1" si="508">IF($B53,ROUND(P52*$N51,2),ROUND(SUMIF(OFFSET($B53,1,0,$D53),TRUE,OFFSET(P53,1,0,$D53))/SUMIF(OFFSET($B53,1,0,$D53),TRUE,OFFSET($K53,1,0,$D53))*$N51,2))</f>
        <v>0</v>
      </c>
      <c r="Q53" s="169">
        <f t="shared" ca="1" si="508"/>
        <v>0</v>
      </c>
      <c r="R53" s="169">
        <f t="shared" ca="1" si="508"/>
        <v>0</v>
      </c>
      <c r="S53" s="169">
        <f t="shared" ca="1" si="508"/>
        <v>0</v>
      </c>
      <c r="T53" s="169">
        <f t="shared" ca="1" si="508"/>
        <v>0</v>
      </c>
      <c r="U53" s="169">
        <f t="shared" ca="1" si="508"/>
        <v>0</v>
      </c>
      <c r="V53" s="169">
        <f t="shared" ca="1" si="508"/>
        <v>0</v>
      </c>
      <c r="W53" s="207">
        <f t="shared" ca="1" si="508"/>
        <v>0</v>
      </c>
      <c r="X53" s="199">
        <f t="shared" ref="X53" ca="1" si="509">IF($B53,ROUND(X52*$N51,2),ROUND(SUMIF(OFFSET($B53,1,0,$D53),TRUE,OFFSET(X53,1,0,$D53))/SUMIF(OFFSET($B53,1,0,$D53),TRUE,OFFSET($K53,1,0,$D53))*$N51,2))</f>
        <v>0</v>
      </c>
      <c r="Y53" s="169">
        <f t="shared" ref="Y53" ca="1" si="510">IF($B53,ROUND(Y52*$N51,2),ROUND(SUMIF(OFFSET($B53,1,0,$D53),TRUE,OFFSET(Y53,1,0,$D53))/SUMIF(OFFSET($B53,1,0,$D53),TRUE,OFFSET($K53,1,0,$D53))*$N51,2))</f>
        <v>0</v>
      </c>
      <c r="Z53" s="169">
        <f t="shared" ref="Z53" ca="1" si="511">IF($B53,ROUND(Z52*$N51,2),ROUND(SUMIF(OFFSET($B53,1,0,$D53),TRUE,OFFSET(Z53,1,0,$D53))/SUMIF(OFFSET($B53,1,0,$D53),TRUE,OFFSET($K53,1,0,$D53))*$N51,2))</f>
        <v>0</v>
      </c>
      <c r="AA53" s="169">
        <f t="shared" ref="AA53" ca="1" si="512">IF($B53,ROUND(AA52*$N51,2),ROUND(SUMIF(OFFSET($B53,1,0,$D53),TRUE,OFFSET(AA53,1,0,$D53))/SUMIF(OFFSET($B53,1,0,$D53),TRUE,OFFSET($K53,1,0,$D53))*$N51,2))</f>
        <v>0</v>
      </c>
      <c r="AB53" s="169">
        <f t="shared" ref="AB53" ca="1" si="513">IF($B53,ROUND(AB52*$N51,2),ROUND(SUMIF(OFFSET($B53,1,0,$D53),TRUE,OFFSET(AB53,1,0,$D53))/SUMIF(OFFSET($B53,1,0,$D53),TRUE,OFFSET($K53,1,0,$D53))*$N51,2))</f>
        <v>0</v>
      </c>
      <c r="AC53" s="169">
        <f t="shared" ref="AC53" ca="1" si="514">IF($B53,ROUND(AC52*$N51,2),ROUND(SUMIF(OFFSET($B53,1,0,$D53),TRUE,OFFSET(AC53,1,0,$D53))/SUMIF(OFFSET($B53,1,0,$D53),TRUE,OFFSET($K53,1,0,$D53))*$N51,2))</f>
        <v>0</v>
      </c>
      <c r="AD53" s="169">
        <f t="shared" ref="AD53" ca="1" si="515">IF($B53,ROUND(AD52*$N51,2),ROUND(SUMIF(OFFSET($B53,1,0,$D53),TRUE,OFFSET(AD53,1,0,$D53))/SUMIF(OFFSET($B53,1,0,$D53),TRUE,OFFSET($K53,1,0,$D53))*$N51,2))</f>
        <v>0</v>
      </c>
      <c r="AE53" s="207">
        <f t="shared" ref="AE53" ca="1" si="516">IF($B53,ROUND(AE52*$N51,2),ROUND(SUMIF(OFFSET($B53,1,0,$D53),TRUE,OFFSET(AE53,1,0,$D53))/SUMIF(OFFSET($B53,1,0,$D53),TRUE,OFFSET($K53,1,0,$D53))*$N51,2))</f>
        <v>0</v>
      </c>
      <c r="AF53" s="196"/>
      <c r="AK53" s="169">
        <f t="shared" ref="AK53" ca="1" si="517">IF($B53,ROUND(AK52*$N51,2),ROUND(SUMIF(OFFSET($B53,1,0,$D53),TRUE,OFFSET(AK53,1,0,$D53))/SUMIF(OFFSET($B53,1,0,$D53),TRUE,OFFSET($K53,1,0,$D53))*$N51,2))</f>
        <v>0</v>
      </c>
    </row>
    <row r="54" spans="1:37" customFormat="1" ht="14.25" customHeight="1" x14ac:dyDescent="0.2">
      <c r="A54" s="82"/>
      <c r="B54" s="82"/>
      <c r="C54" s="82"/>
      <c r="D54" s="82"/>
      <c r="E54" s="82"/>
      <c r="F54" s="82"/>
      <c r="G54" s="82"/>
      <c r="H54" s="82"/>
      <c r="I54" s="82"/>
      <c r="J54" s="82"/>
      <c r="K54" s="82"/>
      <c r="L54" s="374" t="str">
        <f ca="1">INDEX(PO!K$12:K$227,MATCH($A56,PO!$V$12:$V$227,0))</f>
        <v>1.12.</v>
      </c>
      <c r="M54" s="376" t="str">
        <f ca="1">INDEX(PO!N$12:N$227,MATCH($A56,PO!$V$12:$V$227,0))</f>
        <v>INSTALAÇÕES SANITÁRIAS</v>
      </c>
      <c r="N54" s="378">
        <f t="shared" ref="N54" ca="1" si="518">IF(ROUND(K56,2)=0,K56,ROUND(K56,2))</f>
        <v>9.9999999999999998E-13</v>
      </c>
      <c r="O54" s="220" t="s">
        <v>143</v>
      </c>
      <c r="P54" s="225">
        <f t="shared" ref="P54" ca="1" si="519">IF($B56,0,P55-IF(ISNUMBER(O55),O55,0))</f>
        <v>0</v>
      </c>
      <c r="Q54" s="226">
        <f t="shared" ref="Q54" ca="1" si="520">IF($B56,0,Q55-IF(ISNUMBER(P55),P55,0))</f>
        <v>0</v>
      </c>
      <c r="R54" s="226">
        <f t="shared" ref="R54" ca="1" si="521">IF($B56,0,R55-IF(ISNUMBER(Q55),Q55,0))</f>
        <v>0</v>
      </c>
      <c r="S54" s="226">
        <f t="shared" ref="S54" ca="1" si="522">IF($B56,0,S55-IF(ISNUMBER(R55),R55,0))</f>
        <v>0</v>
      </c>
      <c r="T54" s="226">
        <f t="shared" ref="T54" ca="1" si="523">IF($B56,0,T55-IF(ISNUMBER(S55),S55,0))</f>
        <v>0</v>
      </c>
      <c r="U54" s="226">
        <f t="shared" ref="U54" ca="1" si="524">IF($B56,0,U55-IF(ISNUMBER(T55),T55,0))</f>
        <v>0</v>
      </c>
      <c r="V54" s="226">
        <f t="shared" ref="V54" ca="1" si="525">IF($B56,0,V55-IF(ISNUMBER(U55),U55,0))</f>
        <v>0</v>
      </c>
      <c r="W54" s="227">
        <v>0.1</v>
      </c>
      <c r="X54" s="225">
        <v>0.4</v>
      </c>
      <c r="Y54" s="226">
        <v>0.5</v>
      </c>
      <c r="Z54" s="226">
        <f t="shared" ref="Z54" ca="1" si="526">IF($B56,0,Z55-IF(ISNUMBER(Y55),Y55,0))</f>
        <v>0</v>
      </c>
      <c r="AA54" s="226">
        <f t="shared" ref="AA54" ca="1" si="527">IF($B56,0,AA55-IF(ISNUMBER(Z55),Z55,0))</f>
        <v>0</v>
      </c>
      <c r="AB54" s="226">
        <f t="shared" ref="AB54" ca="1" si="528">IF($B56,0,AB55-IF(ISNUMBER(AA55),AA55,0))</f>
        <v>0</v>
      </c>
      <c r="AC54" s="226">
        <f t="shared" ref="AC54" ca="1" si="529">IF($B56,0,AC55-IF(ISNUMBER(AB55),AB55,0))</f>
        <v>0</v>
      </c>
      <c r="AD54" s="226">
        <f t="shared" ref="AD54" ca="1" si="530">IF($B56,0,AD55-IF(ISNUMBER(AC55),AC55,0))</f>
        <v>0</v>
      </c>
      <c r="AE54" s="227">
        <f t="shared" ref="AE54" ca="1" si="531">IF($B56,0,AE55-IF(ISNUMBER(AD55),AD55,0))</f>
        <v>0</v>
      </c>
      <c r="AF54" s="196"/>
      <c r="AK54" s="221">
        <f t="shared" ref="AK54" ca="1" si="532">IF($B56,0,AK55-IF(ISNUMBER(AJ55),AJ55,0))</f>
        <v>0</v>
      </c>
    </row>
    <row r="55" spans="1:37" customFormat="1" ht="14.25" x14ac:dyDescent="0.2">
      <c r="A55" s="184"/>
      <c r="B55" s="184"/>
      <c r="C55" s="184"/>
      <c r="D55" s="184"/>
      <c r="E55" s="184"/>
      <c r="F55" s="184"/>
      <c r="G55" s="184"/>
      <c r="H55" s="184"/>
      <c r="I55" s="184"/>
      <c r="J55" s="184"/>
      <c r="K55" s="184"/>
      <c r="L55" s="375"/>
      <c r="M55" s="377"/>
      <c r="N55" s="379"/>
      <c r="O55" s="170" t="s">
        <v>145</v>
      </c>
      <c r="P55" s="198">
        <f t="shared" ref="P55" ca="1" si="533">MIN(IF($B56,P54+IF(ISNUMBER(O55),O55,0),P56/$N54),1)</f>
        <v>0</v>
      </c>
      <c r="Q55" s="168">
        <f t="shared" ref="Q55" ca="1" si="534">MIN(IF($B56,Q54+IF(ISNUMBER(P55),P55,0),Q56/$N54),1)</f>
        <v>0</v>
      </c>
      <c r="R55" s="168">
        <f t="shared" ref="R55" ca="1" si="535">MIN(IF($B56,R54+IF(ISNUMBER(Q55),Q55,0),R56/$N54),1)</f>
        <v>0</v>
      </c>
      <c r="S55" s="168">
        <f t="shared" ref="S55" ca="1" si="536">MIN(IF($B56,S54+IF(ISNUMBER(R55),R55,0),S56/$N54),1)</f>
        <v>0</v>
      </c>
      <c r="T55" s="168">
        <f t="shared" ref="T55" ca="1" si="537">MIN(IF($B56,T54+IF(ISNUMBER(S55),S55,0),T56/$N54),1)</f>
        <v>0</v>
      </c>
      <c r="U55" s="168">
        <f t="shared" ref="U55" ca="1" si="538">MIN(IF($B56,U54+IF(ISNUMBER(T55),T55,0),U56/$N54),1)</f>
        <v>0</v>
      </c>
      <c r="V55" s="168">
        <f t="shared" ref="V55" ca="1" si="539">MIN(IF($B56,V54+IF(ISNUMBER(U55),U55,0),V56/$N54),1)</f>
        <v>0</v>
      </c>
      <c r="W55" s="168">
        <f t="shared" ref="W55" ca="1" si="540">MIN(IF($B56,W54+IF(ISNUMBER(V55),V55,0),W56/$N54),1)</f>
        <v>0.1</v>
      </c>
      <c r="X55" s="198">
        <f t="shared" ref="X55" ca="1" si="541">MIN(IF($B56,X54+IF(ISNUMBER(W55),W55,0),X56/$N54),1)</f>
        <v>0.5</v>
      </c>
      <c r="Y55" s="168">
        <f t="shared" ref="Y55" ca="1" si="542">MIN(IF($B56,Y54+IF(ISNUMBER(X55),X55,0),Y56/$N54),1)</f>
        <v>1</v>
      </c>
      <c r="Z55" s="168">
        <f t="shared" ref="Z55" ca="1" si="543">MIN(IF($B56,Z54+IF(ISNUMBER(Y55),Y55,0),Z56/$N54),1)</f>
        <v>1</v>
      </c>
      <c r="AA55" s="168">
        <f t="shared" ref="AA55" ca="1" si="544">MIN(IF($B56,AA54+IF(ISNUMBER(Z55),Z55,0),AA56/$N54),1)</f>
        <v>1</v>
      </c>
      <c r="AB55" s="168">
        <f t="shared" ref="AB55" ca="1" si="545">MIN(IF($B56,AB54+IF(ISNUMBER(AA55),AA55,0),AB56/$N54),1)</f>
        <v>1</v>
      </c>
      <c r="AC55" s="168">
        <f t="shared" ref="AC55" ca="1" si="546">MIN(IF($B56,AC54+IF(ISNUMBER(AB55),AB55,0),AC56/$N54),1)</f>
        <v>1</v>
      </c>
      <c r="AD55" s="168">
        <f t="shared" ref="AD55" ca="1" si="547">MIN(IF($B56,AD54+IF(ISNUMBER(AC55),AC55,0),AD56/$N54),1)</f>
        <v>1</v>
      </c>
      <c r="AE55" s="168">
        <f t="shared" ref="AE55" ca="1" si="548">MIN(IF($B56,AE54+IF(ISNUMBER(AD55),AD55,0),AE56/$N54),1)</f>
        <v>1</v>
      </c>
      <c r="AF55" s="196"/>
      <c r="AK55" s="168">
        <f t="shared" ref="AK55" ca="1" si="549">MIN(IF($B56,AK54+IF(ISNUMBER(AJ55),AJ55,0),AK56/$N54),1)</f>
        <v>0</v>
      </c>
    </row>
    <row r="56" spans="1:37" customFormat="1" ht="14.25" x14ac:dyDescent="0.2">
      <c r="A56" s="184">
        <f ca="1">OFFSET(A56,-CFF.NumLinha,0)+1</f>
        <v>13</v>
      </c>
      <c r="B56" s="184" t="b">
        <f ca="1">$C56&gt;=OFFSET($C56,CFF.NumLinha,0)</f>
        <v>1</v>
      </c>
      <c r="C56" s="184">
        <f ca="1">INDEX(PO!A$12:A$227,MATCH($A56,PO!$V$12:$V$227,0))</f>
        <v>2</v>
      </c>
      <c r="D56" s="184">
        <f t="shared" ref="D56" ca="1" si="550">IF(ISERROR(J56),I56,SMALL(I56:J56,1))-1</f>
        <v>2</v>
      </c>
      <c r="E56" s="184">
        <f ca="1">IF($C56=1,OFFSET(E56,-CFF.NumLinha,0)+1,OFFSET(E56,-CFF.NumLinha,0))</f>
        <v>1</v>
      </c>
      <c r="F56" s="184">
        <f ca="1">IF($C56=1,0,IF($C56=2,OFFSET(F56,-CFF.NumLinha,0)+1,OFFSET(F56,-CFF.NumLinha,0)))</f>
        <v>12</v>
      </c>
      <c r="G56" s="184">
        <f ca="1">IF(AND($C56&lt;=2,$C56&lt;&gt;0),0,IF($C56=3,OFFSET(G56,-CFF.NumLinha,0)+1,OFFSET(G56,-CFF.NumLinha,0)))</f>
        <v>0</v>
      </c>
      <c r="H56" s="184">
        <f ca="1">IF(AND($C56&lt;=3,$C56&lt;&gt;0),0,IF($C56=4,OFFSET(H56,-CFF.NumLinha,0)+1,OFFSET(H56,-CFF.NumLinha,0)))</f>
        <v>0</v>
      </c>
      <c r="I56" s="184">
        <f t="shared" ref="I56" ca="1" si="551">MATCH(0,OFFSET($D56,1,$C56,ROW($A$75)-ROW($A56)),0)</f>
        <v>19</v>
      </c>
      <c r="J56" s="184">
        <f t="shared" ref="J56" ca="1" si="552">MATCH(OFFSET($D56,0,$C56)+1,OFFSET($D56,1,$C56,ROW($A$75)-ROW($A56)),0)</f>
        <v>3</v>
      </c>
      <c r="K56" s="185">
        <f ca="1">ROUND(INDEX(PO!T$12:T$227,MATCH($A56,PO!$V$12:$V$227,0)),2)+10^-12</f>
        <v>9.9999999999999998E-13</v>
      </c>
      <c r="L56" s="375"/>
      <c r="M56" s="377"/>
      <c r="N56" s="379"/>
      <c r="O56" s="204" t="s">
        <v>20</v>
      </c>
      <c r="P56" s="199">
        <f t="shared" ref="P56:W56" ca="1" si="553">IF($B56,ROUND(P55*$N54,2),ROUND(SUMIF(OFFSET($B56,1,0,$D56),TRUE,OFFSET(P56,1,0,$D56))/SUMIF(OFFSET($B56,1,0,$D56),TRUE,OFFSET($K56,1,0,$D56))*$N54,2))</f>
        <v>0</v>
      </c>
      <c r="Q56" s="169">
        <f t="shared" ca="1" si="553"/>
        <v>0</v>
      </c>
      <c r="R56" s="169">
        <f t="shared" ca="1" si="553"/>
        <v>0</v>
      </c>
      <c r="S56" s="169">
        <f t="shared" ca="1" si="553"/>
        <v>0</v>
      </c>
      <c r="T56" s="169">
        <f t="shared" ca="1" si="553"/>
        <v>0</v>
      </c>
      <c r="U56" s="169">
        <f t="shared" ca="1" si="553"/>
        <v>0</v>
      </c>
      <c r="V56" s="169">
        <f t="shared" ca="1" si="553"/>
        <v>0</v>
      </c>
      <c r="W56" s="207">
        <f t="shared" ca="1" si="553"/>
        <v>0</v>
      </c>
      <c r="X56" s="199">
        <f t="shared" ref="X56" ca="1" si="554">IF($B56,ROUND(X55*$N54,2),ROUND(SUMIF(OFFSET($B56,1,0,$D56),TRUE,OFFSET(X56,1,0,$D56))/SUMIF(OFFSET($B56,1,0,$D56),TRUE,OFFSET($K56,1,0,$D56))*$N54,2))</f>
        <v>0</v>
      </c>
      <c r="Y56" s="169">
        <f t="shared" ref="Y56" ca="1" si="555">IF($B56,ROUND(Y55*$N54,2),ROUND(SUMIF(OFFSET($B56,1,0,$D56),TRUE,OFFSET(Y56,1,0,$D56))/SUMIF(OFFSET($B56,1,0,$D56),TRUE,OFFSET($K56,1,0,$D56))*$N54,2))</f>
        <v>0</v>
      </c>
      <c r="Z56" s="169">
        <f t="shared" ref="Z56" ca="1" si="556">IF($B56,ROUND(Z55*$N54,2),ROUND(SUMIF(OFFSET($B56,1,0,$D56),TRUE,OFFSET(Z56,1,0,$D56))/SUMIF(OFFSET($B56,1,0,$D56),TRUE,OFFSET($K56,1,0,$D56))*$N54,2))</f>
        <v>0</v>
      </c>
      <c r="AA56" s="169">
        <f t="shared" ref="AA56" ca="1" si="557">IF($B56,ROUND(AA55*$N54,2),ROUND(SUMIF(OFFSET($B56,1,0,$D56),TRUE,OFFSET(AA56,1,0,$D56))/SUMIF(OFFSET($B56,1,0,$D56),TRUE,OFFSET($K56,1,0,$D56))*$N54,2))</f>
        <v>0</v>
      </c>
      <c r="AB56" s="169">
        <f t="shared" ref="AB56" ca="1" si="558">IF($B56,ROUND(AB55*$N54,2),ROUND(SUMIF(OFFSET($B56,1,0,$D56),TRUE,OFFSET(AB56,1,0,$D56))/SUMIF(OFFSET($B56,1,0,$D56),TRUE,OFFSET($K56,1,0,$D56))*$N54,2))</f>
        <v>0</v>
      </c>
      <c r="AC56" s="169">
        <f t="shared" ref="AC56" ca="1" si="559">IF($B56,ROUND(AC55*$N54,2),ROUND(SUMIF(OFFSET($B56,1,0,$D56),TRUE,OFFSET(AC56,1,0,$D56))/SUMIF(OFFSET($B56,1,0,$D56),TRUE,OFFSET($K56,1,0,$D56))*$N54,2))</f>
        <v>0</v>
      </c>
      <c r="AD56" s="169">
        <f t="shared" ref="AD56" ca="1" si="560">IF($B56,ROUND(AD55*$N54,2),ROUND(SUMIF(OFFSET($B56,1,0,$D56),TRUE,OFFSET(AD56,1,0,$D56))/SUMIF(OFFSET($B56,1,0,$D56),TRUE,OFFSET($K56,1,0,$D56))*$N54,2))</f>
        <v>0</v>
      </c>
      <c r="AE56" s="207">
        <f t="shared" ref="AE56" ca="1" si="561">IF($B56,ROUND(AE55*$N54,2),ROUND(SUMIF(OFFSET($B56,1,0,$D56),TRUE,OFFSET(AE56,1,0,$D56))/SUMIF(OFFSET($B56,1,0,$D56),TRUE,OFFSET($K56,1,0,$D56))*$N54,2))</f>
        <v>0</v>
      </c>
      <c r="AF56" s="196"/>
      <c r="AK56" s="169">
        <f t="shared" ref="AK56" ca="1" si="562">IF($B56,ROUND(AK55*$N54,2),ROUND(SUMIF(OFFSET($B56,1,0,$D56),TRUE,OFFSET(AK56,1,0,$D56))/SUMIF(OFFSET($B56,1,0,$D56),TRUE,OFFSET($K56,1,0,$D56))*$N54,2))</f>
        <v>0</v>
      </c>
    </row>
    <row r="57" spans="1:37" customFormat="1" ht="14.25" customHeight="1" x14ac:dyDescent="0.2">
      <c r="A57" s="82"/>
      <c r="B57" s="82"/>
      <c r="C57" s="82"/>
      <c r="D57" s="82"/>
      <c r="E57" s="82"/>
      <c r="F57" s="82"/>
      <c r="G57" s="82"/>
      <c r="H57" s="82"/>
      <c r="I57" s="82"/>
      <c r="J57" s="82"/>
      <c r="K57" s="82"/>
      <c r="L57" s="374" t="str">
        <f ca="1">INDEX(PO!K$12:K$227,MATCH($A59,PO!$V$12:$V$227,0))</f>
        <v>1.13.</v>
      </c>
      <c r="M57" s="376" t="str">
        <f ca="1">INDEX(PO!N$12:N$227,MATCH($A59,PO!$V$12:$V$227,0))</f>
        <v>LOUÇAS ACESSÓRIOS E METAIS</v>
      </c>
      <c r="N57" s="378">
        <f t="shared" ref="N57" ca="1" si="563">IF(ROUND(K59,2)=0,K59,ROUND(K59,2))</f>
        <v>9.9999999999999998E-13</v>
      </c>
      <c r="O57" s="220" t="s">
        <v>143</v>
      </c>
      <c r="P57" s="225">
        <f t="shared" ref="P57" ca="1" si="564">IF($B59,0,P58-IF(ISNUMBER(O58),O58,0))</f>
        <v>0</v>
      </c>
      <c r="Q57" s="226">
        <f t="shared" ref="Q57" ca="1" si="565">IF($B59,0,Q58-IF(ISNUMBER(P58),P58,0))</f>
        <v>0</v>
      </c>
      <c r="R57" s="226">
        <v>0.5</v>
      </c>
      <c r="S57" s="226">
        <v>0.5</v>
      </c>
      <c r="T57" s="226">
        <f t="shared" ref="T57" ca="1" si="566">IF($B59,0,T58-IF(ISNUMBER(S58),S58,0))</f>
        <v>0</v>
      </c>
      <c r="U57" s="226">
        <f t="shared" ref="U57" ca="1" si="567">IF($B59,0,U58-IF(ISNUMBER(T58),T58,0))</f>
        <v>0</v>
      </c>
      <c r="V57" s="226">
        <f t="shared" ref="V57" ca="1" si="568">IF($B59,0,V58-IF(ISNUMBER(U58),U58,0))</f>
        <v>0</v>
      </c>
      <c r="W57" s="227">
        <f t="shared" ref="W57" ca="1" si="569">IF($B59,0,W58-IF(ISNUMBER(V58),V58,0))</f>
        <v>0</v>
      </c>
      <c r="X57" s="225">
        <f t="shared" ref="X57" ca="1" si="570">IF($B59,0,X58-IF(ISNUMBER(W58),W58,0))</f>
        <v>0</v>
      </c>
      <c r="Y57" s="226">
        <f t="shared" ref="Y57" ca="1" si="571">IF($B59,0,Y58-IF(ISNUMBER(X58),X58,0))</f>
        <v>0</v>
      </c>
      <c r="Z57" s="226">
        <f t="shared" ref="Z57" ca="1" si="572">IF($B59,0,Z58-IF(ISNUMBER(Y58),Y58,0))</f>
        <v>0</v>
      </c>
      <c r="AA57" s="226">
        <f t="shared" ref="AA57" ca="1" si="573">IF($B59,0,AA58-IF(ISNUMBER(Z58),Z58,0))</f>
        <v>0</v>
      </c>
      <c r="AB57" s="226">
        <f t="shared" ref="AB57" ca="1" si="574">IF($B59,0,AB58-IF(ISNUMBER(AA58),AA58,0))</f>
        <v>0</v>
      </c>
      <c r="AC57" s="226">
        <f t="shared" ref="AC57" ca="1" si="575">IF($B59,0,AC58-IF(ISNUMBER(AB58),AB58,0))</f>
        <v>0</v>
      </c>
      <c r="AD57" s="226">
        <f t="shared" ref="AD57" ca="1" si="576">IF($B59,0,AD58-IF(ISNUMBER(AC58),AC58,0))</f>
        <v>0</v>
      </c>
      <c r="AE57" s="227">
        <f t="shared" ref="AE57" ca="1" si="577">IF($B59,0,AE58-IF(ISNUMBER(AD58),AD58,0))</f>
        <v>0</v>
      </c>
      <c r="AF57" s="196"/>
      <c r="AK57" s="221">
        <f t="shared" ref="AK57" ca="1" si="578">IF($B59,0,AK58-IF(ISNUMBER(AJ58),AJ58,0))</f>
        <v>0</v>
      </c>
    </row>
    <row r="58" spans="1:37" customFormat="1" ht="14.25" x14ac:dyDescent="0.2">
      <c r="A58" s="184"/>
      <c r="B58" s="184"/>
      <c r="C58" s="184"/>
      <c r="D58" s="184"/>
      <c r="E58" s="184"/>
      <c r="F58" s="184"/>
      <c r="G58" s="184"/>
      <c r="H58" s="184"/>
      <c r="I58" s="184"/>
      <c r="J58" s="184"/>
      <c r="K58" s="184"/>
      <c r="L58" s="375"/>
      <c r="M58" s="377"/>
      <c r="N58" s="379"/>
      <c r="O58" s="170" t="s">
        <v>145</v>
      </c>
      <c r="P58" s="198">
        <f t="shared" ref="P58" ca="1" si="579">MIN(IF($B59,P57+IF(ISNUMBER(O58),O58,0),P59/$N57),1)</f>
        <v>0</v>
      </c>
      <c r="Q58" s="168">
        <f t="shared" ref="Q58" ca="1" si="580">MIN(IF($B59,Q57+IF(ISNUMBER(P58),P58,0),Q59/$N57),1)</f>
        <v>0</v>
      </c>
      <c r="R58" s="168">
        <f t="shared" ref="R58" ca="1" si="581">MIN(IF($B59,R57+IF(ISNUMBER(Q58),Q58,0),R59/$N57),1)</f>
        <v>0.5</v>
      </c>
      <c r="S58" s="168">
        <f t="shared" ref="S58" ca="1" si="582">MIN(IF($B59,S57+IF(ISNUMBER(R58),R58,0),S59/$N57),1)</f>
        <v>1</v>
      </c>
      <c r="T58" s="168">
        <f t="shared" ref="T58" ca="1" si="583">MIN(IF($B59,T57+IF(ISNUMBER(S58),S58,0),T59/$N57),1)</f>
        <v>1</v>
      </c>
      <c r="U58" s="168">
        <f t="shared" ref="U58" ca="1" si="584">MIN(IF($B59,U57+IF(ISNUMBER(T58),T58,0),U59/$N57),1)</f>
        <v>1</v>
      </c>
      <c r="V58" s="168">
        <f t="shared" ref="V58" ca="1" si="585">MIN(IF($B59,V57+IF(ISNUMBER(U58),U58,0),V59/$N57),1)</f>
        <v>1</v>
      </c>
      <c r="W58" s="168">
        <f t="shared" ref="W58" ca="1" si="586">MIN(IF($B59,W57+IF(ISNUMBER(V58),V58,0),W59/$N57),1)</f>
        <v>1</v>
      </c>
      <c r="X58" s="198">
        <f t="shared" ref="X58" ca="1" si="587">MIN(IF($B59,X57+IF(ISNUMBER(W58),W58,0),X59/$N57),1)</f>
        <v>1</v>
      </c>
      <c r="Y58" s="168">
        <f t="shared" ref="Y58" ca="1" si="588">MIN(IF($B59,Y57+IF(ISNUMBER(X58),X58,0),Y59/$N57),1)</f>
        <v>1</v>
      </c>
      <c r="Z58" s="168">
        <f t="shared" ref="Z58" ca="1" si="589">MIN(IF($B59,Z57+IF(ISNUMBER(Y58),Y58,0),Z59/$N57),1)</f>
        <v>1</v>
      </c>
      <c r="AA58" s="168">
        <f t="shared" ref="AA58" ca="1" si="590">MIN(IF($B59,AA57+IF(ISNUMBER(Z58),Z58,0),AA59/$N57),1)</f>
        <v>1</v>
      </c>
      <c r="AB58" s="168">
        <f t="shared" ref="AB58" ca="1" si="591">MIN(IF($B59,AB57+IF(ISNUMBER(AA58),AA58,0),AB59/$N57),1)</f>
        <v>1</v>
      </c>
      <c r="AC58" s="168">
        <f t="shared" ref="AC58" ca="1" si="592">MIN(IF($B59,AC57+IF(ISNUMBER(AB58),AB58,0),AC59/$N57),1)</f>
        <v>1</v>
      </c>
      <c r="AD58" s="168">
        <f t="shared" ref="AD58" ca="1" si="593">MIN(IF($B59,AD57+IF(ISNUMBER(AC58),AC58,0),AD59/$N57),1)</f>
        <v>1</v>
      </c>
      <c r="AE58" s="168">
        <f t="shared" ref="AE58" ca="1" si="594">MIN(IF($B59,AE57+IF(ISNUMBER(AD58),AD58,0),AE59/$N57),1)</f>
        <v>1</v>
      </c>
      <c r="AF58" s="196"/>
      <c r="AK58" s="168">
        <f t="shared" ref="AK58" ca="1" si="595">MIN(IF($B59,AK57+IF(ISNUMBER(AJ58),AJ58,0),AK59/$N57),1)</f>
        <v>0</v>
      </c>
    </row>
    <row r="59" spans="1:37" customFormat="1" ht="14.25" x14ac:dyDescent="0.2">
      <c r="A59" s="184">
        <f ca="1">OFFSET(A59,-CFF.NumLinha,0)+1</f>
        <v>14</v>
      </c>
      <c r="B59" s="184" t="b">
        <f ca="1">$C59&gt;=OFFSET($C59,CFF.NumLinha,0)</f>
        <v>1</v>
      </c>
      <c r="C59" s="184">
        <f ca="1">INDEX(PO!A$12:A$227,MATCH($A59,PO!$V$12:$V$227,0))</f>
        <v>2</v>
      </c>
      <c r="D59" s="184">
        <f t="shared" ref="D59" ca="1" si="596">IF(ISERROR(J59),I59,SMALL(I59:J59,1))-1</f>
        <v>2</v>
      </c>
      <c r="E59" s="184">
        <f ca="1">IF($C59=1,OFFSET(E59,-CFF.NumLinha,0)+1,OFFSET(E59,-CFF.NumLinha,0))</f>
        <v>1</v>
      </c>
      <c r="F59" s="184">
        <f ca="1">IF($C59=1,0,IF($C59=2,OFFSET(F59,-CFF.NumLinha,0)+1,OFFSET(F59,-CFF.NumLinha,0)))</f>
        <v>13</v>
      </c>
      <c r="G59" s="184">
        <f ca="1">IF(AND($C59&lt;=2,$C59&lt;&gt;0),0,IF($C59=3,OFFSET(G59,-CFF.NumLinha,0)+1,OFFSET(G59,-CFF.NumLinha,0)))</f>
        <v>0</v>
      </c>
      <c r="H59" s="184">
        <f ca="1">IF(AND($C59&lt;=3,$C59&lt;&gt;0),0,IF($C59=4,OFFSET(H59,-CFF.NumLinha,0)+1,OFFSET(H59,-CFF.NumLinha,0)))</f>
        <v>0</v>
      </c>
      <c r="I59" s="184">
        <f t="shared" ref="I59" ca="1" si="597">MATCH(0,OFFSET($D59,1,$C59,ROW($A$75)-ROW($A59)),0)</f>
        <v>16</v>
      </c>
      <c r="J59" s="184">
        <f t="shared" ref="J59" ca="1" si="598">MATCH(OFFSET($D59,0,$C59)+1,OFFSET($D59,1,$C59,ROW($A$75)-ROW($A59)),0)</f>
        <v>3</v>
      </c>
      <c r="K59" s="185">
        <f ca="1">ROUND(INDEX(PO!T$12:T$227,MATCH($A59,PO!$V$12:$V$227,0)),2)+10^-12</f>
        <v>9.9999999999999998E-13</v>
      </c>
      <c r="L59" s="375"/>
      <c r="M59" s="377"/>
      <c r="N59" s="379"/>
      <c r="O59" s="204" t="s">
        <v>20</v>
      </c>
      <c r="P59" s="199">
        <f t="shared" ref="P59:W59" ca="1" si="599">IF($B59,ROUND(P58*$N57,2),ROUND(SUMIF(OFFSET($B59,1,0,$D59),TRUE,OFFSET(P59,1,0,$D59))/SUMIF(OFFSET($B59,1,0,$D59),TRUE,OFFSET($K59,1,0,$D59))*$N57,2))</f>
        <v>0</v>
      </c>
      <c r="Q59" s="169">
        <f t="shared" ca="1" si="599"/>
        <v>0</v>
      </c>
      <c r="R59" s="169">
        <f t="shared" ca="1" si="599"/>
        <v>0</v>
      </c>
      <c r="S59" s="169">
        <f t="shared" ca="1" si="599"/>
        <v>0</v>
      </c>
      <c r="T59" s="169">
        <f t="shared" ca="1" si="599"/>
        <v>0</v>
      </c>
      <c r="U59" s="169">
        <f t="shared" ca="1" si="599"/>
        <v>0</v>
      </c>
      <c r="V59" s="169">
        <f t="shared" ca="1" si="599"/>
        <v>0</v>
      </c>
      <c r="W59" s="207">
        <f t="shared" ca="1" si="599"/>
        <v>0</v>
      </c>
      <c r="X59" s="199">
        <f t="shared" ref="X59" ca="1" si="600">IF($B59,ROUND(X58*$N57,2),ROUND(SUMIF(OFFSET($B59,1,0,$D59),TRUE,OFFSET(X59,1,0,$D59))/SUMIF(OFFSET($B59,1,0,$D59),TRUE,OFFSET($K59,1,0,$D59))*$N57,2))</f>
        <v>0</v>
      </c>
      <c r="Y59" s="169">
        <f t="shared" ref="Y59" ca="1" si="601">IF($B59,ROUND(Y58*$N57,2),ROUND(SUMIF(OFFSET($B59,1,0,$D59),TRUE,OFFSET(Y59,1,0,$D59))/SUMIF(OFFSET($B59,1,0,$D59),TRUE,OFFSET($K59,1,0,$D59))*$N57,2))</f>
        <v>0</v>
      </c>
      <c r="Z59" s="169">
        <f t="shared" ref="Z59" ca="1" si="602">IF($B59,ROUND(Z58*$N57,2),ROUND(SUMIF(OFFSET($B59,1,0,$D59),TRUE,OFFSET(Z59,1,0,$D59))/SUMIF(OFFSET($B59,1,0,$D59),TRUE,OFFSET($K59,1,0,$D59))*$N57,2))</f>
        <v>0</v>
      </c>
      <c r="AA59" s="169">
        <f t="shared" ref="AA59" ca="1" si="603">IF($B59,ROUND(AA58*$N57,2),ROUND(SUMIF(OFFSET($B59,1,0,$D59),TRUE,OFFSET(AA59,1,0,$D59))/SUMIF(OFFSET($B59,1,0,$D59),TRUE,OFFSET($K59,1,0,$D59))*$N57,2))</f>
        <v>0</v>
      </c>
      <c r="AB59" s="169">
        <f t="shared" ref="AB59" ca="1" si="604">IF($B59,ROUND(AB58*$N57,2),ROUND(SUMIF(OFFSET($B59,1,0,$D59),TRUE,OFFSET(AB59,1,0,$D59))/SUMIF(OFFSET($B59,1,0,$D59),TRUE,OFFSET($K59,1,0,$D59))*$N57,2))</f>
        <v>0</v>
      </c>
      <c r="AC59" s="169">
        <f t="shared" ref="AC59" ca="1" si="605">IF($B59,ROUND(AC58*$N57,2),ROUND(SUMIF(OFFSET($B59,1,0,$D59),TRUE,OFFSET(AC59,1,0,$D59))/SUMIF(OFFSET($B59,1,0,$D59),TRUE,OFFSET($K59,1,0,$D59))*$N57,2))</f>
        <v>0</v>
      </c>
      <c r="AD59" s="169">
        <f t="shared" ref="AD59" ca="1" si="606">IF($B59,ROUND(AD58*$N57,2),ROUND(SUMIF(OFFSET($B59,1,0,$D59),TRUE,OFFSET(AD59,1,0,$D59))/SUMIF(OFFSET($B59,1,0,$D59),TRUE,OFFSET($K59,1,0,$D59))*$N57,2))</f>
        <v>0</v>
      </c>
      <c r="AE59" s="207">
        <f t="shared" ref="AE59" ca="1" si="607">IF($B59,ROUND(AE58*$N57,2),ROUND(SUMIF(OFFSET($B59,1,0,$D59),TRUE,OFFSET(AE59,1,0,$D59))/SUMIF(OFFSET($B59,1,0,$D59),TRUE,OFFSET($K59,1,0,$D59))*$N57,2))</f>
        <v>0</v>
      </c>
      <c r="AF59" s="196"/>
      <c r="AK59" s="169">
        <f t="shared" ref="AK59" ca="1" si="608">IF($B59,ROUND(AK58*$N57,2),ROUND(SUMIF(OFFSET($B59,1,0,$D59),TRUE,OFFSET(AK59,1,0,$D59))/SUMIF(OFFSET($B59,1,0,$D59),TRUE,OFFSET($K59,1,0,$D59))*$N57,2))</f>
        <v>0</v>
      </c>
    </row>
    <row r="60" spans="1:37" customFormat="1" ht="14.25" customHeight="1" x14ac:dyDescent="0.2">
      <c r="A60" s="82"/>
      <c r="B60" s="82"/>
      <c r="C60" s="82"/>
      <c r="D60" s="82"/>
      <c r="E60" s="82"/>
      <c r="F60" s="82"/>
      <c r="G60" s="82"/>
      <c r="H60" s="82"/>
      <c r="I60" s="82"/>
      <c r="J60" s="82"/>
      <c r="K60" s="82"/>
      <c r="L60" s="374" t="str">
        <f ca="1">INDEX(PO!K$12:K$227,MATCH($A62,PO!$V$12:$V$227,0))</f>
        <v>1.14.</v>
      </c>
      <c r="M60" s="376" t="str">
        <f ca="1">INDEX(PO!N$12:N$227,MATCH($A62,PO!$V$12:$V$227,0))</f>
        <v>INSTALAÇÃO DE GÁS COMBUSTÍVEL</v>
      </c>
      <c r="N60" s="378">
        <f t="shared" ref="N60" ca="1" si="609">IF(ROUND(K62,2)=0,K62,ROUND(K62,2))</f>
        <v>9.9999999999999998E-13</v>
      </c>
      <c r="O60" s="220" t="s">
        <v>143</v>
      </c>
      <c r="P60" s="225">
        <f t="shared" ref="P60" ca="1" si="610">IF($B62,0,P61-IF(ISNUMBER(O61),O61,0))</f>
        <v>0</v>
      </c>
      <c r="Q60" s="226">
        <f t="shared" ref="Q60" ca="1" si="611">IF($B62,0,Q61-IF(ISNUMBER(P61),P61,0))</f>
        <v>0</v>
      </c>
      <c r="R60" s="226">
        <f t="shared" ref="R60" ca="1" si="612">IF($B62,0,R61-IF(ISNUMBER(Q61),Q61,0))</f>
        <v>0</v>
      </c>
      <c r="S60" s="226">
        <f t="shared" ref="S60" ca="1" si="613">IF($B62,0,S61-IF(ISNUMBER(R61),R61,0))</f>
        <v>0</v>
      </c>
      <c r="T60" s="226">
        <f t="shared" ref="T60" ca="1" si="614">IF($B62,0,T61-IF(ISNUMBER(S61),S61,0))</f>
        <v>0</v>
      </c>
      <c r="U60" s="226">
        <f t="shared" ref="U60" ca="1" si="615">IF($B62,0,U61-IF(ISNUMBER(T61),T61,0))</f>
        <v>0</v>
      </c>
      <c r="V60" s="226">
        <f t="shared" ref="V60" ca="1" si="616">IF($B62,0,V61-IF(ISNUMBER(U61),U61,0))</f>
        <v>0</v>
      </c>
      <c r="W60" s="227">
        <f t="shared" ref="W60" ca="1" si="617">IF($B62,0,W61-IF(ISNUMBER(V61),V61,0))</f>
        <v>0</v>
      </c>
      <c r="X60" s="225">
        <v>0.5</v>
      </c>
      <c r="Y60" s="226">
        <v>0.5</v>
      </c>
      <c r="Z60" s="226">
        <f t="shared" ref="Z60" ca="1" si="618">IF($B62,0,Z61-IF(ISNUMBER(Y61),Y61,0))</f>
        <v>0</v>
      </c>
      <c r="AA60" s="226">
        <f t="shared" ref="AA60" ca="1" si="619">IF($B62,0,AA61-IF(ISNUMBER(Z61),Z61,0))</f>
        <v>0</v>
      </c>
      <c r="AB60" s="226">
        <f t="shared" ref="AB60" ca="1" si="620">IF($B62,0,AB61-IF(ISNUMBER(AA61),AA61,0))</f>
        <v>0</v>
      </c>
      <c r="AC60" s="226">
        <f t="shared" ref="AC60" ca="1" si="621">IF($B62,0,AC61-IF(ISNUMBER(AB61),AB61,0))</f>
        <v>0</v>
      </c>
      <c r="AD60" s="226">
        <f t="shared" ref="AD60" ca="1" si="622">IF($B62,0,AD61-IF(ISNUMBER(AC61),AC61,0))</f>
        <v>0</v>
      </c>
      <c r="AE60" s="227">
        <f t="shared" ref="AE60" ca="1" si="623">IF($B62,0,AE61-IF(ISNUMBER(AD61),AD61,0))</f>
        <v>0</v>
      </c>
      <c r="AF60" s="196"/>
      <c r="AK60" s="221">
        <f t="shared" ref="AK60" ca="1" si="624">IF($B62,0,AK61-IF(ISNUMBER(AJ61),AJ61,0))</f>
        <v>0</v>
      </c>
    </row>
    <row r="61" spans="1:37" customFormat="1" ht="14.25" x14ac:dyDescent="0.2">
      <c r="A61" s="184"/>
      <c r="B61" s="184"/>
      <c r="C61" s="184"/>
      <c r="D61" s="184"/>
      <c r="E61" s="184"/>
      <c r="F61" s="184"/>
      <c r="G61" s="184"/>
      <c r="H61" s="184"/>
      <c r="I61" s="184"/>
      <c r="J61" s="184"/>
      <c r="K61" s="184"/>
      <c r="L61" s="375"/>
      <c r="M61" s="377"/>
      <c r="N61" s="379"/>
      <c r="O61" s="170" t="s">
        <v>145</v>
      </c>
      <c r="P61" s="198">
        <f t="shared" ref="P61" ca="1" si="625">MIN(IF($B62,P60+IF(ISNUMBER(O61),O61,0),P62/$N60),1)</f>
        <v>0</v>
      </c>
      <c r="Q61" s="168">
        <f t="shared" ref="Q61" ca="1" si="626">MIN(IF($B62,Q60+IF(ISNUMBER(P61),P61,0),Q62/$N60),1)</f>
        <v>0</v>
      </c>
      <c r="R61" s="168">
        <f t="shared" ref="R61" ca="1" si="627">MIN(IF($B62,R60+IF(ISNUMBER(Q61),Q61,0),R62/$N60),1)</f>
        <v>0</v>
      </c>
      <c r="S61" s="168">
        <f t="shared" ref="S61" ca="1" si="628">MIN(IF($B62,S60+IF(ISNUMBER(R61),R61,0),S62/$N60),1)</f>
        <v>0</v>
      </c>
      <c r="T61" s="168">
        <f t="shared" ref="T61" ca="1" si="629">MIN(IF($B62,T60+IF(ISNUMBER(S61),S61,0),T62/$N60),1)</f>
        <v>0</v>
      </c>
      <c r="U61" s="168">
        <f t="shared" ref="U61" ca="1" si="630">MIN(IF($B62,U60+IF(ISNUMBER(T61),T61,0),U62/$N60),1)</f>
        <v>0</v>
      </c>
      <c r="V61" s="168">
        <f t="shared" ref="V61" ca="1" si="631">MIN(IF($B62,V60+IF(ISNUMBER(U61),U61,0),V62/$N60),1)</f>
        <v>0</v>
      </c>
      <c r="W61" s="168">
        <f t="shared" ref="W61" ca="1" si="632">MIN(IF($B62,W60+IF(ISNUMBER(V61),V61,0),W62/$N60),1)</f>
        <v>0</v>
      </c>
      <c r="X61" s="198">
        <f t="shared" ref="X61" ca="1" si="633">MIN(IF($B62,X60+IF(ISNUMBER(W61),W61,0),X62/$N60),1)</f>
        <v>0.5</v>
      </c>
      <c r="Y61" s="168">
        <f t="shared" ref="Y61" ca="1" si="634">MIN(IF($B62,Y60+IF(ISNUMBER(X61),X61,0),Y62/$N60),1)</f>
        <v>1</v>
      </c>
      <c r="Z61" s="168">
        <f t="shared" ref="Z61" ca="1" si="635">MIN(IF($B62,Z60+IF(ISNUMBER(Y61),Y61,0),Z62/$N60),1)</f>
        <v>1</v>
      </c>
      <c r="AA61" s="168">
        <f t="shared" ref="AA61" ca="1" si="636">MIN(IF($B62,AA60+IF(ISNUMBER(Z61),Z61,0),AA62/$N60),1)</f>
        <v>1</v>
      </c>
      <c r="AB61" s="168">
        <f t="shared" ref="AB61" ca="1" si="637">MIN(IF($B62,AB60+IF(ISNUMBER(AA61),AA61,0),AB62/$N60),1)</f>
        <v>1</v>
      </c>
      <c r="AC61" s="168">
        <f t="shared" ref="AC61" ca="1" si="638">MIN(IF($B62,AC60+IF(ISNUMBER(AB61),AB61,0),AC62/$N60),1)</f>
        <v>1</v>
      </c>
      <c r="AD61" s="168">
        <f t="shared" ref="AD61" ca="1" si="639">MIN(IF($B62,AD60+IF(ISNUMBER(AC61),AC61,0),AD62/$N60),1)</f>
        <v>1</v>
      </c>
      <c r="AE61" s="168">
        <f t="shared" ref="AE61" ca="1" si="640">MIN(IF($B62,AE60+IF(ISNUMBER(AD61),AD61,0),AE62/$N60),1)</f>
        <v>1</v>
      </c>
      <c r="AF61" s="196"/>
      <c r="AK61" s="168">
        <f t="shared" ref="AK61" ca="1" si="641">MIN(IF($B62,AK60+IF(ISNUMBER(AJ61),AJ61,0),AK62/$N60),1)</f>
        <v>0</v>
      </c>
    </row>
    <row r="62" spans="1:37" customFormat="1" ht="14.25" x14ac:dyDescent="0.2">
      <c r="A62" s="184">
        <f ca="1">OFFSET(A62,-CFF.NumLinha,0)+1</f>
        <v>15</v>
      </c>
      <c r="B62" s="184" t="b">
        <f ca="1">$C62&gt;=OFFSET($C62,CFF.NumLinha,0)</f>
        <v>1</v>
      </c>
      <c r="C62" s="184">
        <f ca="1">INDEX(PO!A$12:A$227,MATCH($A62,PO!$V$12:$V$227,0))</f>
        <v>2</v>
      </c>
      <c r="D62" s="184">
        <f t="shared" ref="D62" ca="1" si="642">IF(ISERROR(J62),I62,SMALL(I62:J62,1))-1</f>
        <v>2</v>
      </c>
      <c r="E62" s="184">
        <f ca="1">IF($C62=1,OFFSET(E62,-CFF.NumLinha,0)+1,OFFSET(E62,-CFF.NumLinha,0))</f>
        <v>1</v>
      </c>
      <c r="F62" s="184">
        <f ca="1">IF($C62=1,0,IF($C62=2,OFFSET(F62,-CFF.NumLinha,0)+1,OFFSET(F62,-CFF.NumLinha,0)))</f>
        <v>14</v>
      </c>
      <c r="G62" s="184">
        <f ca="1">IF(AND($C62&lt;=2,$C62&lt;&gt;0),0,IF($C62=3,OFFSET(G62,-CFF.NumLinha,0)+1,OFFSET(G62,-CFF.NumLinha,0)))</f>
        <v>0</v>
      </c>
      <c r="H62" s="184">
        <f ca="1">IF(AND($C62&lt;=3,$C62&lt;&gt;0),0,IF($C62=4,OFFSET(H62,-CFF.NumLinha,0)+1,OFFSET(H62,-CFF.NumLinha,0)))</f>
        <v>0</v>
      </c>
      <c r="I62" s="184">
        <f t="shared" ref="I62" ca="1" si="643">MATCH(0,OFFSET($D62,1,$C62,ROW($A$75)-ROW($A62)),0)</f>
        <v>13</v>
      </c>
      <c r="J62" s="184">
        <f t="shared" ref="J62" ca="1" si="644">MATCH(OFFSET($D62,0,$C62)+1,OFFSET($D62,1,$C62,ROW($A$75)-ROW($A62)),0)</f>
        <v>3</v>
      </c>
      <c r="K62" s="185">
        <f ca="1">ROUND(INDEX(PO!T$12:T$227,MATCH($A62,PO!$V$12:$V$227,0)),2)+10^-12</f>
        <v>9.9999999999999998E-13</v>
      </c>
      <c r="L62" s="375"/>
      <c r="M62" s="377"/>
      <c r="N62" s="379"/>
      <c r="O62" s="204" t="s">
        <v>20</v>
      </c>
      <c r="P62" s="199">
        <f t="shared" ref="P62:W62" ca="1" si="645">IF($B62,ROUND(P61*$N60,2),ROUND(SUMIF(OFFSET($B62,1,0,$D62),TRUE,OFFSET(P62,1,0,$D62))/SUMIF(OFFSET($B62,1,0,$D62),TRUE,OFFSET($K62,1,0,$D62))*$N60,2))</f>
        <v>0</v>
      </c>
      <c r="Q62" s="169">
        <f t="shared" ca="1" si="645"/>
        <v>0</v>
      </c>
      <c r="R62" s="169">
        <f t="shared" ca="1" si="645"/>
        <v>0</v>
      </c>
      <c r="S62" s="169">
        <f t="shared" ca="1" si="645"/>
        <v>0</v>
      </c>
      <c r="T62" s="169">
        <f t="shared" ca="1" si="645"/>
        <v>0</v>
      </c>
      <c r="U62" s="169">
        <f t="shared" ca="1" si="645"/>
        <v>0</v>
      </c>
      <c r="V62" s="169">
        <f t="shared" ca="1" si="645"/>
        <v>0</v>
      </c>
      <c r="W62" s="207">
        <f t="shared" ca="1" si="645"/>
        <v>0</v>
      </c>
      <c r="X62" s="199">
        <f t="shared" ref="X62" ca="1" si="646">IF($B62,ROUND(X61*$N60,2),ROUND(SUMIF(OFFSET($B62,1,0,$D62),TRUE,OFFSET(X62,1,0,$D62))/SUMIF(OFFSET($B62,1,0,$D62),TRUE,OFFSET($K62,1,0,$D62))*$N60,2))</f>
        <v>0</v>
      </c>
      <c r="Y62" s="169">
        <f t="shared" ref="Y62" ca="1" si="647">IF($B62,ROUND(Y61*$N60,2),ROUND(SUMIF(OFFSET($B62,1,0,$D62),TRUE,OFFSET(Y62,1,0,$D62))/SUMIF(OFFSET($B62,1,0,$D62),TRUE,OFFSET($K62,1,0,$D62))*$N60,2))</f>
        <v>0</v>
      </c>
      <c r="Z62" s="169">
        <f t="shared" ref="Z62" ca="1" si="648">IF($B62,ROUND(Z61*$N60,2),ROUND(SUMIF(OFFSET($B62,1,0,$D62),TRUE,OFFSET(Z62,1,0,$D62))/SUMIF(OFFSET($B62,1,0,$D62),TRUE,OFFSET($K62,1,0,$D62))*$N60,2))</f>
        <v>0</v>
      </c>
      <c r="AA62" s="169">
        <f t="shared" ref="AA62" ca="1" si="649">IF($B62,ROUND(AA61*$N60,2),ROUND(SUMIF(OFFSET($B62,1,0,$D62),TRUE,OFFSET(AA62,1,0,$D62))/SUMIF(OFFSET($B62,1,0,$D62),TRUE,OFFSET($K62,1,0,$D62))*$N60,2))</f>
        <v>0</v>
      </c>
      <c r="AB62" s="169">
        <f t="shared" ref="AB62" ca="1" si="650">IF($B62,ROUND(AB61*$N60,2),ROUND(SUMIF(OFFSET($B62,1,0,$D62),TRUE,OFFSET(AB62,1,0,$D62))/SUMIF(OFFSET($B62,1,0,$D62),TRUE,OFFSET($K62,1,0,$D62))*$N60,2))</f>
        <v>0</v>
      </c>
      <c r="AC62" s="169">
        <f t="shared" ref="AC62" ca="1" si="651">IF($B62,ROUND(AC61*$N60,2),ROUND(SUMIF(OFFSET($B62,1,0,$D62),TRUE,OFFSET(AC62,1,0,$D62))/SUMIF(OFFSET($B62,1,0,$D62),TRUE,OFFSET($K62,1,0,$D62))*$N60,2))</f>
        <v>0</v>
      </c>
      <c r="AD62" s="169">
        <f t="shared" ref="AD62" ca="1" si="652">IF($B62,ROUND(AD61*$N60,2),ROUND(SUMIF(OFFSET($B62,1,0,$D62),TRUE,OFFSET(AD62,1,0,$D62))/SUMIF(OFFSET($B62,1,0,$D62),TRUE,OFFSET($K62,1,0,$D62))*$N60,2))</f>
        <v>0</v>
      </c>
      <c r="AE62" s="207">
        <f t="shared" ref="AE62" ca="1" si="653">IF($B62,ROUND(AE61*$N60,2),ROUND(SUMIF(OFFSET($B62,1,0,$D62),TRUE,OFFSET(AE62,1,0,$D62))/SUMIF(OFFSET($B62,1,0,$D62),TRUE,OFFSET($K62,1,0,$D62))*$N60,2))</f>
        <v>0</v>
      </c>
      <c r="AF62" s="196"/>
      <c r="AK62" s="169">
        <f t="shared" ref="AK62" ca="1" si="654">IF($B62,ROUND(AK61*$N60,2),ROUND(SUMIF(OFFSET($B62,1,0,$D62),TRUE,OFFSET(AK62,1,0,$D62))/SUMIF(OFFSET($B62,1,0,$D62),TRUE,OFFSET($K62,1,0,$D62))*$N60,2))</f>
        <v>0</v>
      </c>
    </row>
    <row r="63" spans="1:37" customFormat="1" ht="14.25" customHeight="1" x14ac:dyDescent="0.2">
      <c r="A63" s="82"/>
      <c r="B63" s="82"/>
      <c r="C63" s="82"/>
      <c r="D63" s="82"/>
      <c r="E63" s="82"/>
      <c r="F63" s="82"/>
      <c r="G63" s="82"/>
      <c r="H63" s="82"/>
      <c r="I63" s="82"/>
      <c r="J63" s="82"/>
      <c r="K63" s="82"/>
      <c r="L63" s="374" t="str">
        <f ca="1">INDEX(PO!K$12:K$227,MATCH($A65,PO!$V$12:$V$227,0))</f>
        <v>1.15.</v>
      </c>
      <c r="M63" s="376" t="str">
        <f ca="1">INDEX(PO!N$12:N$227,MATCH($A65,PO!$V$12:$V$227,0))</f>
        <v>SISTEMA DE PROTEÇÃO CONTRA INCÊNDIO</v>
      </c>
      <c r="N63" s="378">
        <f t="shared" ref="N63" ca="1" si="655">IF(ROUND(K65,2)=0,K65,ROUND(K65,2))</f>
        <v>9.9999999999999998E-13</v>
      </c>
      <c r="O63" s="220" t="s">
        <v>143</v>
      </c>
      <c r="P63" s="225">
        <f t="shared" ref="P63" ca="1" si="656">IF($B65,0,P64-IF(ISNUMBER(O64),O64,0))</f>
        <v>0</v>
      </c>
      <c r="Q63" s="226">
        <f t="shared" ref="Q63" ca="1" si="657">IF($B65,0,Q64-IF(ISNUMBER(P64),P64,0))</f>
        <v>0</v>
      </c>
      <c r="R63" s="226">
        <f t="shared" ref="R63" ca="1" si="658">IF($B65,0,R64-IF(ISNUMBER(Q64),Q64,0))</f>
        <v>0</v>
      </c>
      <c r="S63" s="226">
        <v>0.1</v>
      </c>
      <c r="T63" s="226">
        <v>0.3</v>
      </c>
      <c r="U63" s="226">
        <v>0.2</v>
      </c>
      <c r="V63" s="226">
        <v>0.2</v>
      </c>
      <c r="W63" s="227">
        <v>0.2</v>
      </c>
      <c r="X63" s="225">
        <f t="shared" ref="X63" ca="1" si="659">IF($B65,0,X64-IF(ISNUMBER(W64),W64,0))</f>
        <v>0</v>
      </c>
      <c r="Y63" s="226">
        <f t="shared" ref="Y63" ca="1" si="660">IF($B65,0,Y64-IF(ISNUMBER(X64),X64,0))</f>
        <v>0</v>
      </c>
      <c r="Z63" s="226">
        <f t="shared" ref="Z63" ca="1" si="661">IF($B65,0,Z64-IF(ISNUMBER(Y64),Y64,0))</f>
        <v>0</v>
      </c>
      <c r="AA63" s="226">
        <f t="shared" ref="AA63" ca="1" si="662">IF($B65,0,AA64-IF(ISNUMBER(Z64),Z64,0))</f>
        <v>0</v>
      </c>
      <c r="AB63" s="226">
        <f t="shared" ref="AB63" ca="1" si="663">IF($B65,0,AB64-IF(ISNUMBER(AA64),AA64,0))</f>
        <v>0</v>
      </c>
      <c r="AC63" s="226">
        <f t="shared" ref="AC63" ca="1" si="664">IF($B65,0,AC64-IF(ISNUMBER(AB64),AB64,0))</f>
        <v>0</v>
      </c>
      <c r="AD63" s="226">
        <f t="shared" ref="AD63" ca="1" si="665">IF($B65,0,AD64-IF(ISNUMBER(AC64),AC64,0))</f>
        <v>0</v>
      </c>
      <c r="AE63" s="227">
        <f t="shared" ref="AE63" ca="1" si="666">IF($B65,0,AE64-IF(ISNUMBER(AD64),AD64,0))</f>
        <v>0</v>
      </c>
      <c r="AF63" s="196"/>
      <c r="AK63" s="221">
        <f t="shared" ref="AK63" ca="1" si="667">IF($B65,0,AK64-IF(ISNUMBER(AJ64),AJ64,0))</f>
        <v>0</v>
      </c>
    </row>
    <row r="64" spans="1:37" customFormat="1" ht="14.25" x14ac:dyDescent="0.2">
      <c r="A64" s="184"/>
      <c r="B64" s="184"/>
      <c r="C64" s="184"/>
      <c r="D64" s="184"/>
      <c r="E64" s="184"/>
      <c r="F64" s="184"/>
      <c r="G64" s="184"/>
      <c r="H64" s="184"/>
      <c r="I64" s="184"/>
      <c r="J64" s="184"/>
      <c r="K64" s="184"/>
      <c r="L64" s="375"/>
      <c r="M64" s="377"/>
      <c r="N64" s="379"/>
      <c r="O64" s="170" t="s">
        <v>145</v>
      </c>
      <c r="P64" s="198">
        <f t="shared" ref="P64" ca="1" si="668">MIN(IF($B65,P63+IF(ISNUMBER(O64),O64,0),P65/$N63),1)</f>
        <v>0</v>
      </c>
      <c r="Q64" s="168">
        <f t="shared" ref="Q64" ca="1" si="669">MIN(IF($B65,Q63+IF(ISNUMBER(P64),P64,0),Q65/$N63),1)</f>
        <v>0</v>
      </c>
      <c r="R64" s="168">
        <f t="shared" ref="R64" ca="1" si="670">MIN(IF($B65,R63+IF(ISNUMBER(Q64),Q64,0),R65/$N63),1)</f>
        <v>0</v>
      </c>
      <c r="S64" s="168">
        <f t="shared" ref="S64" ca="1" si="671">MIN(IF($B65,S63+IF(ISNUMBER(R64),R64,0),S65/$N63),1)</f>
        <v>0.1</v>
      </c>
      <c r="T64" s="168">
        <f t="shared" ref="T64" ca="1" si="672">MIN(IF($B65,T63+IF(ISNUMBER(S64),S64,0),T65/$N63),1)</f>
        <v>0.4</v>
      </c>
      <c r="U64" s="168">
        <f t="shared" ref="U64" ca="1" si="673">MIN(IF($B65,U63+IF(ISNUMBER(T64),T64,0),U65/$N63),1)</f>
        <v>0.60000000000000009</v>
      </c>
      <c r="V64" s="168">
        <f t="shared" ref="V64" ca="1" si="674">MIN(IF($B65,V63+IF(ISNUMBER(U64),U64,0),V65/$N63),1)</f>
        <v>0.8</v>
      </c>
      <c r="W64" s="168">
        <f t="shared" ref="W64" ca="1" si="675">MIN(IF($B65,W63+IF(ISNUMBER(V64),V64,0),W65/$N63),1)</f>
        <v>1</v>
      </c>
      <c r="X64" s="198">
        <f t="shared" ref="X64" ca="1" si="676">MIN(IF($B65,X63+IF(ISNUMBER(W64),W64,0),X65/$N63),1)</f>
        <v>1</v>
      </c>
      <c r="Y64" s="168">
        <f t="shared" ref="Y64" ca="1" si="677">MIN(IF($B65,Y63+IF(ISNUMBER(X64),X64,0),Y65/$N63),1)</f>
        <v>1</v>
      </c>
      <c r="Z64" s="168">
        <f t="shared" ref="Z64" ca="1" si="678">MIN(IF($B65,Z63+IF(ISNUMBER(Y64),Y64,0),Z65/$N63),1)</f>
        <v>1</v>
      </c>
      <c r="AA64" s="168">
        <f t="shared" ref="AA64" ca="1" si="679">MIN(IF($B65,AA63+IF(ISNUMBER(Z64),Z64,0),AA65/$N63),1)</f>
        <v>1</v>
      </c>
      <c r="AB64" s="168">
        <f t="shared" ref="AB64" ca="1" si="680">MIN(IF($B65,AB63+IF(ISNUMBER(AA64),AA64,0),AB65/$N63),1)</f>
        <v>1</v>
      </c>
      <c r="AC64" s="168">
        <f t="shared" ref="AC64" ca="1" si="681">MIN(IF($B65,AC63+IF(ISNUMBER(AB64),AB64,0),AC65/$N63),1)</f>
        <v>1</v>
      </c>
      <c r="AD64" s="168">
        <f t="shared" ref="AD64" ca="1" si="682">MIN(IF($B65,AD63+IF(ISNUMBER(AC64),AC64,0),AD65/$N63),1)</f>
        <v>1</v>
      </c>
      <c r="AE64" s="168">
        <f t="shared" ref="AE64" ca="1" si="683">MIN(IF($B65,AE63+IF(ISNUMBER(AD64),AD64,0),AE65/$N63),1)</f>
        <v>1</v>
      </c>
      <c r="AF64" s="196"/>
      <c r="AK64" s="168">
        <f t="shared" ref="AK64" ca="1" si="684">MIN(IF($B65,AK63+IF(ISNUMBER(AJ64),AJ64,0),AK65/$N63),1)</f>
        <v>0</v>
      </c>
    </row>
    <row r="65" spans="1:37" customFormat="1" ht="14.25" x14ac:dyDescent="0.2">
      <c r="A65" s="184">
        <f ca="1">OFFSET(A65,-CFF.NumLinha,0)+1</f>
        <v>16</v>
      </c>
      <c r="B65" s="184" t="b">
        <f ca="1">$C65&gt;=OFFSET($C65,CFF.NumLinha,0)</f>
        <v>1</v>
      </c>
      <c r="C65" s="184">
        <f ca="1">INDEX(PO!A$12:A$227,MATCH($A65,PO!$V$12:$V$227,0))</f>
        <v>2</v>
      </c>
      <c r="D65" s="184">
        <f t="shared" ref="D65" ca="1" si="685">IF(ISERROR(J65),I65,SMALL(I65:J65,1))-1</f>
        <v>2</v>
      </c>
      <c r="E65" s="184">
        <f ca="1">IF($C65=1,OFFSET(E65,-CFF.NumLinha,0)+1,OFFSET(E65,-CFF.NumLinha,0))</f>
        <v>1</v>
      </c>
      <c r="F65" s="184">
        <f ca="1">IF($C65=1,0,IF($C65=2,OFFSET(F65,-CFF.NumLinha,0)+1,OFFSET(F65,-CFF.NumLinha,0)))</f>
        <v>15</v>
      </c>
      <c r="G65" s="184">
        <f ca="1">IF(AND($C65&lt;=2,$C65&lt;&gt;0),0,IF($C65=3,OFFSET(G65,-CFF.NumLinha,0)+1,OFFSET(G65,-CFF.NumLinha,0)))</f>
        <v>0</v>
      </c>
      <c r="H65" s="184">
        <f ca="1">IF(AND($C65&lt;=3,$C65&lt;&gt;0),0,IF($C65=4,OFFSET(H65,-CFF.NumLinha,0)+1,OFFSET(H65,-CFF.NumLinha,0)))</f>
        <v>0</v>
      </c>
      <c r="I65" s="184">
        <f t="shared" ref="I65" ca="1" si="686">MATCH(0,OFFSET($D65,1,$C65,ROW($A$75)-ROW($A65)),0)</f>
        <v>10</v>
      </c>
      <c r="J65" s="184">
        <f t="shared" ref="J65" ca="1" si="687">MATCH(OFFSET($D65,0,$C65)+1,OFFSET($D65,1,$C65,ROW($A$75)-ROW($A65)),0)</f>
        <v>3</v>
      </c>
      <c r="K65" s="185">
        <f ca="1">ROUND(INDEX(PO!T$12:T$227,MATCH($A65,PO!$V$12:$V$227,0)),2)+10^-12</f>
        <v>9.9999999999999998E-13</v>
      </c>
      <c r="L65" s="375"/>
      <c r="M65" s="377"/>
      <c r="N65" s="379"/>
      <c r="O65" s="204" t="s">
        <v>20</v>
      </c>
      <c r="P65" s="199">
        <f t="shared" ref="P65:W65" ca="1" si="688">IF($B65,ROUND(P64*$N63,2),ROUND(SUMIF(OFFSET($B65,1,0,$D65),TRUE,OFFSET(P65,1,0,$D65))/SUMIF(OFFSET($B65,1,0,$D65),TRUE,OFFSET($K65,1,0,$D65))*$N63,2))</f>
        <v>0</v>
      </c>
      <c r="Q65" s="169">
        <f t="shared" ca="1" si="688"/>
        <v>0</v>
      </c>
      <c r="R65" s="169">
        <f t="shared" ca="1" si="688"/>
        <v>0</v>
      </c>
      <c r="S65" s="169">
        <f t="shared" ca="1" si="688"/>
        <v>0</v>
      </c>
      <c r="T65" s="169">
        <f t="shared" ca="1" si="688"/>
        <v>0</v>
      </c>
      <c r="U65" s="169">
        <f t="shared" ca="1" si="688"/>
        <v>0</v>
      </c>
      <c r="V65" s="169">
        <f t="shared" ca="1" si="688"/>
        <v>0</v>
      </c>
      <c r="W65" s="207">
        <f t="shared" ca="1" si="688"/>
        <v>0</v>
      </c>
      <c r="X65" s="199">
        <f t="shared" ref="X65" ca="1" si="689">IF($B65,ROUND(X64*$N63,2),ROUND(SUMIF(OFFSET($B65,1,0,$D65),TRUE,OFFSET(X65,1,0,$D65))/SUMIF(OFFSET($B65,1,0,$D65),TRUE,OFFSET($K65,1,0,$D65))*$N63,2))</f>
        <v>0</v>
      </c>
      <c r="Y65" s="169">
        <f t="shared" ref="Y65" ca="1" si="690">IF($B65,ROUND(Y64*$N63,2),ROUND(SUMIF(OFFSET($B65,1,0,$D65),TRUE,OFFSET(Y65,1,0,$D65))/SUMIF(OFFSET($B65,1,0,$D65),TRUE,OFFSET($K65,1,0,$D65))*$N63,2))</f>
        <v>0</v>
      </c>
      <c r="Z65" s="169">
        <f t="shared" ref="Z65" ca="1" si="691">IF($B65,ROUND(Z64*$N63,2),ROUND(SUMIF(OFFSET($B65,1,0,$D65),TRUE,OFFSET(Z65,1,0,$D65))/SUMIF(OFFSET($B65,1,0,$D65),TRUE,OFFSET($K65,1,0,$D65))*$N63,2))</f>
        <v>0</v>
      </c>
      <c r="AA65" s="169">
        <f t="shared" ref="AA65" ca="1" si="692">IF($B65,ROUND(AA64*$N63,2),ROUND(SUMIF(OFFSET($B65,1,0,$D65),TRUE,OFFSET(AA65,1,0,$D65))/SUMIF(OFFSET($B65,1,0,$D65),TRUE,OFFSET($K65,1,0,$D65))*$N63,2))</f>
        <v>0</v>
      </c>
      <c r="AB65" s="169">
        <f t="shared" ref="AB65" ca="1" si="693">IF($B65,ROUND(AB64*$N63,2),ROUND(SUMIF(OFFSET($B65,1,0,$D65),TRUE,OFFSET(AB65,1,0,$D65))/SUMIF(OFFSET($B65,1,0,$D65),TRUE,OFFSET($K65,1,0,$D65))*$N63,2))</f>
        <v>0</v>
      </c>
      <c r="AC65" s="169">
        <f t="shared" ref="AC65" ca="1" si="694">IF($B65,ROUND(AC64*$N63,2),ROUND(SUMIF(OFFSET($B65,1,0,$D65),TRUE,OFFSET(AC65,1,0,$D65))/SUMIF(OFFSET($B65,1,0,$D65),TRUE,OFFSET($K65,1,0,$D65))*$N63,2))</f>
        <v>0</v>
      </c>
      <c r="AD65" s="169">
        <f t="shared" ref="AD65" ca="1" si="695">IF($B65,ROUND(AD64*$N63,2),ROUND(SUMIF(OFFSET($B65,1,0,$D65),TRUE,OFFSET(AD65,1,0,$D65))/SUMIF(OFFSET($B65,1,0,$D65),TRUE,OFFSET($K65,1,0,$D65))*$N63,2))</f>
        <v>0</v>
      </c>
      <c r="AE65" s="207">
        <f t="shared" ref="AE65" ca="1" si="696">IF($B65,ROUND(AE64*$N63,2),ROUND(SUMIF(OFFSET($B65,1,0,$D65),TRUE,OFFSET(AE65,1,0,$D65))/SUMIF(OFFSET($B65,1,0,$D65),TRUE,OFFSET($K65,1,0,$D65))*$N63,2))</f>
        <v>0</v>
      </c>
      <c r="AF65" s="196"/>
      <c r="AK65" s="169">
        <f t="shared" ref="AK65" ca="1" si="697">IF($B65,ROUND(AK64*$N63,2),ROUND(SUMIF(OFFSET($B65,1,0,$D65),TRUE,OFFSET(AK65,1,0,$D65))/SUMIF(OFFSET($B65,1,0,$D65),TRUE,OFFSET($K65,1,0,$D65))*$N63,2))</f>
        <v>0</v>
      </c>
    </row>
    <row r="66" spans="1:37" customFormat="1" ht="14.25" customHeight="1" x14ac:dyDescent="0.2">
      <c r="A66" s="82"/>
      <c r="B66" s="82"/>
      <c r="C66" s="82"/>
      <c r="D66" s="82"/>
      <c r="E66" s="82"/>
      <c r="F66" s="82"/>
      <c r="G66" s="82"/>
      <c r="H66" s="82"/>
      <c r="I66" s="82"/>
      <c r="J66" s="82"/>
      <c r="K66" s="82"/>
      <c r="L66" s="374" t="str">
        <f ca="1">INDEX(PO!K$12:K$227,MATCH($A68,PO!$V$12:$V$227,0))</f>
        <v>1.16.</v>
      </c>
      <c r="M66" s="376" t="str">
        <f ca="1">INDEX(PO!N$12:N$227,MATCH($A68,PO!$V$12:$V$227,0))</f>
        <v>INSTALAÇÕES ELÉTRICAS E TELEFÔNICAS 127v</v>
      </c>
      <c r="N66" s="378">
        <f t="shared" ref="N66" ca="1" si="698">IF(ROUND(K68,2)=0,K68,ROUND(K68,2))</f>
        <v>9.9999999999999998E-13</v>
      </c>
      <c r="O66" s="220" t="s">
        <v>143</v>
      </c>
      <c r="P66" s="225">
        <f t="shared" ref="P66" ca="1" si="699">IF($B68,0,P67-IF(ISNUMBER(O67),O67,0))</f>
        <v>0</v>
      </c>
      <c r="Q66" s="226">
        <v>0.1</v>
      </c>
      <c r="R66" s="226">
        <v>0.2</v>
      </c>
      <c r="S66" s="226">
        <v>0.3</v>
      </c>
      <c r="T66" s="226">
        <f t="shared" ref="T66" ca="1" si="700">IF($B68,0,T67-IF(ISNUMBER(S67),S67,0))</f>
        <v>0</v>
      </c>
      <c r="U66" s="226">
        <f t="shared" ref="U66" ca="1" si="701">IF($B68,0,U67-IF(ISNUMBER(T67),T67,0))</f>
        <v>0</v>
      </c>
      <c r="V66" s="226">
        <f t="shared" ref="V66" ca="1" si="702">IF($B68,0,V67-IF(ISNUMBER(U67),U67,0))</f>
        <v>0</v>
      </c>
      <c r="W66" s="227">
        <f t="shared" ref="W66" ca="1" si="703">IF($B68,0,W67-IF(ISNUMBER(V67),V67,0))</f>
        <v>0</v>
      </c>
      <c r="X66" s="225">
        <f t="shared" ref="X66" ca="1" si="704">IF($B68,0,X67-IF(ISNUMBER(W67),W67,0))</f>
        <v>0</v>
      </c>
      <c r="Y66" s="226">
        <f t="shared" ref="Y66" ca="1" si="705">IF($B68,0,Y67-IF(ISNUMBER(X67),X67,0))</f>
        <v>0</v>
      </c>
      <c r="Z66" s="226">
        <v>0.1</v>
      </c>
      <c r="AA66" s="226">
        <v>0.3</v>
      </c>
      <c r="AB66" s="226">
        <f t="shared" ref="AB66" ca="1" si="706">IF($B68,0,AB67-IF(ISNUMBER(AA67),AA67,0))</f>
        <v>0</v>
      </c>
      <c r="AC66" s="226">
        <f t="shared" ref="AC66" ca="1" si="707">IF($B68,0,AC67-IF(ISNUMBER(AB67),AB67,0))</f>
        <v>0</v>
      </c>
      <c r="AD66" s="226">
        <f t="shared" ref="AD66" ca="1" si="708">IF($B68,0,AD67-IF(ISNUMBER(AC67),AC67,0))</f>
        <v>0</v>
      </c>
      <c r="AE66" s="227">
        <f t="shared" ref="AE66" ca="1" si="709">IF($B68,0,AE67-IF(ISNUMBER(AD67),AD67,0))</f>
        <v>0</v>
      </c>
      <c r="AF66" s="196"/>
      <c r="AK66" s="221">
        <f t="shared" ref="AK66" ca="1" si="710">IF($B68,0,AK67-IF(ISNUMBER(AJ67),AJ67,0))</f>
        <v>0</v>
      </c>
    </row>
    <row r="67" spans="1:37" customFormat="1" ht="14.25" x14ac:dyDescent="0.2">
      <c r="A67" s="184"/>
      <c r="B67" s="184"/>
      <c r="C67" s="184"/>
      <c r="D67" s="184"/>
      <c r="E67" s="184"/>
      <c r="F67" s="184"/>
      <c r="G67" s="184"/>
      <c r="H67" s="184"/>
      <c r="I67" s="184"/>
      <c r="J67" s="184"/>
      <c r="K67" s="184"/>
      <c r="L67" s="375"/>
      <c r="M67" s="377"/>
      <c r="N67" s="379"/>
      <c r="O67" s="170" t="s">
        <v>145</v>
      </c>
      <c r="P67" s="198">
        <f t="shared" ref="P67" ca="1" si="711">MIN(IF($B68,P66+IF(ISNUMBER(O67),O67,0),P68/$N66),1)</f>
        <v>0</v>
      </c>
      <c r="Q67" s="168">
        <f t="shared" ref="Q67" ca="1" si="712">MIN(IF($B68,Q66+IF(ISNUMBER(P67),P67,0),Q68/$N66),1)</f>
        <v>0.1</v>
      </c>
      <c r="R67" s="168">
        <f t="shared" ref="R67" ca="1" si="713">MIN(IF($B68,R66+IF(ISNUMBER(Q67),Q67,0),R68/$N66),1)</f>
        <v>0.30000000000000004</v>
      </c>
      <c r="S67" s="168">
        <f t="shared" ref="S67" ca="1" si="714">MIN(IF($B68,S66+IF(ISNUMBER(R67),R67,0),S68/$N66),1)</f>
        <v>0.60000000000000009</v>
      </c>
      <c r="T67" s="168">
        <f t="shared" ref="T67" ca="1" si="715">MIN(IF($B68,T66+IF(ISNUMBER(S67),S67,0),T68/$N66),1)</f>
        <v>0.60000000000000009</v>
      </c>
      <c r="U67" s="168">
        <f t="shared" ref="U67" ca="1" si="716">MIN(IF($B68,U66+IF(ISNUMBER(T67),T67,0),U68/$N66),1)</f>
        <v>0.60000000000000009</v>
      </c>
      <c r="V67" s="168">
        <f t="shared" ref="V67" ca="1" si="717">MIN(IF($B68,V66+IF(ISNUMBER(U67),U67,0),V68/$N66),1)</f>
        <v>0.60000000000000009</v>
      </c>
      <c r="W67" s="168">
        <f t="shared" ref="W67" ca="1" si="718">MIN(IF($B68,W66+IF(ISNUMBER(V67),V67,0),W68/$N66),1)</f>
        <v>0.60000000000000009</v>
      </c>
      <c r="X67" s="198">
        <f t="shared" ref="X67" ca="1" si="719">MIN(IF($B68,X66+IF(ISNUMBER(W67),W67,0),X68/$N66),1)</f>
        <v>0.60000000000000009</v>
      </c>
      <c r="Y67" s="168">
        <f t="shared" ref="Y67" ca="1" si="720">MIN(IF($B68,Y66+IF(ISNUMBER(X67),X67,0),Y68/$N66),1)</f>
        <v>0.60000000000000009</v>
      </c>
      <c r="Z67" s="168">
        <f t="shared" ref="Z67" ca="1" si="721">MIN(IF($B68,Z66+IF(ISNUMBER(Y67),Y67,0),Z68/$N66),1)</f>
        <v>0.70000000000000007</v>
      </c>
      <c r="AA67" s="168">
        <f t="shared" ref="AA67" ca="1" si="722">MIN(IF($B68,AA66+IF(ISNUMBER(Z67),Z67,0),AA68/$N66),1)</f>
        <v>1</v>
      </c>
      <c r="AB67" s="168">
        <f t="shared" ref="AB67" ca="1" si="723">MIN(IF($B68,AB66+IF(ISNUMBER(AA67),AA67,0),AB68/$N66),1)</f>
        <v>1</v>
      </c>
      <c r="AC67" s="168">
        <f t="shared" ref="AC67" ca="1" si="724">MIN(IF($B68,AC66+IF(ISNUMBER(AB67),AB67,0),AC68/$N66),1)</f>
        <v>1</v>
      </c>
      <c r="AD67" s="168">
        <f t="shared" ref="AD67" ca="1" si="725">MIN(IF($B68,AD66+IF(ISNUMBER(AC67),AC67,0),AD68/$N66),1)</f>
        <v>1</v>
      </c>
      <c r="AE67" s="168">
        <f t="shared" ref="AE67" ca="1" si="726">MIN(IF($B68,AE66+IF(ISNUMBER(AD67),AD67,0),AE68/$N66),1)</f>
        <v>1</v>
      </c>
      <c r="AF67" s="196"/>
      <c r="AK67" s="168">
        <f t="shared" ref="AK67" ca="1" si="727">MIN(IF($B68,AK66+IF(ISNUMBER(AJ67),AJ67,0),AK68/$N66),1)</f>
        <v>0</v>
      </c>
    </row>
    <row r="68" spans="1:37" customFormat="1" ht="14.25" x14ac:dyDescent="0.2">
      <c r="A68" s="184">
        <f ca="1">OFFSET(A68,-CFF.NumLinha,0)+1</f>
        <v>17</v>
      </c>
      <c r="B68" s="184" t="b">
        <f ca="1">$C68&gt;=OFFSET($C68,CFF.NumLinha,0)</f>
        <v>1</v>
      </c>
      <c r="C68" s="184">
        <f ca="1">INDEX(PO!A$12:A$227,MATCH($A68,PO!$V$12:$V$227,0))</f>
        <v>2</v>
      </c>
      <c r="D68" s="184">
        <f t="shared" ref="D68" ca="1" si="728">IF(ISERROR(J68),I68,SMALL(I68:J68,1))-1</f>
        <v>2</v>
      </c>
      <c r="E68" s="184">
        <f ca="1">IF($C68=1,OFFSET(E68,-CFF.NumLinha,0)+1,OFFSET(E68,-CFF.NumLinha,0))</f>
        <v>1</v>
      </c>
      <c r="F68" s="184">
        <f ca="1">IF($C68=1,0,IF($C68=2,OFFSET(F68,-CFF.NumLinha,0)+1,OFFSET(F68,-CFF.NumLinha,0)))</f>
        <v>16</v>
      </c>
      <c r="G68" s="184">
        <f ca="1">IF(AND($C68&lt;=2,$C68&lt;&gt;0),0,IF($C68=3,OFFSET(G68,-CFF.NumLinha,0)+1,OFFSET(G68,-CFF.NumLinha,0)))</f>
        <v>0</v>
      </c>
      <c r="H68" s="184">
        <f ca="1">IF(AND($C68&lt;=3,$C68&lt;&gt;0),0,IF($C68=4,OFFSET(H68,-CFF.NumLinha,0)+1,OFFSET(H68,-CFF.NumLinha,0)))</f>
        <v>0</v>
      </c>
      <c r="I68" s="184">
        <f t="shared" ref="I68" ca="1" si="729">MATCH(0,OFFSET($D68,1,$C68,ROW($A$75)-ROW($A68)),0)</f>
        <v>7</v>
      </c>
      <c r="J68" s="184">
        <f t="shared" ref="J68" ca="1" si="730">MATCH(OFFSET($D68,0,$C68)+1,OFFSET($D68,1,$C68,ROW($A$75)-ROW($A68)),0)</f>
        <v>3</v>
      </c>
      <c r="K68" s="185">
        <f ca="1">ROUND(INDEX(PO!T$12:T$227,MATCH($A68,PO!$V$12:$V$227,0)),2)+10^-12</f>
        <v>9.9999999999999998E-13</v>
      </c>
      <c r="L68" s="375"/>
      <c r="M68" s="377"/>
      <c r="N68" s="379"/>
      <c r="O68" s="204" t="s">
        <v>20</v>
      </c>
      <c r="P68" s="199">
        <f t="shared" ref="P68:W68" ca="1" si="731">IF($B68,ROUND(P67*$N66,2),ROUND(SUMIF(OFFSET($B68,1,0,$D68),TRUE,OFFSET(P68,1,0,$D68))/SUMIF(OFFSET($B68,1,0,$D68),TRUE,OFFSET($K68,1,0,$D68))*$N66,2))</f>
        <v>0</v>
      </c>
      <c r="Q68" s="169">
        <f t="shared" ca="1" si="731"/>
        <v>0</v>
      </c>
      <c r="R68" s="169">
        <f t="shared" ca="1" si="731"/>
        <v>0</v>
      </c>
      <c r="S68" s="169">
        <f t="shared" ca="1" si="731"/>
        <v>0</v>
      </c>
      <c r="T68" s="169">
        <f t="shared" ca="1" si="731"/>
        <v>0</v>
      </c>
      <c r="U68" s="169">
        <f t="shared" ca="1" si="731"/>
        <v>0</v>
      </c>
      <c r="V68" s="169">
        <f t="shared" ca="1" si="731"/>
        <v>0</v>
      </c>
      <c r="W68" s="207">
        <f t="shared" ca="1" si="731"/>
        <v>0</v>
      </c>
      <c r="X68" s="199">
        <f t="shared" ref="X68" ca="1" si="732">IF($B68,ROUND(X67*$N66,2),ROUND(SUMIF(OFFSET($B68,1,0,$D68),TRUE,OFFSET(X68,1,0,$D68))/SUMIF(OFFSET($B68,1,0,$D68),TRUE,OFFSET($K68,1,0,$D68))*$N66,2))</f>
        <v>0</v>
      </c>
      <c r="Y68" s="169">
        <f t="shared" ref="Y68" ca="1" si="733">IF($B68,ROUND(Y67*$N66,2),ROUND(SUMIF(OFFSET($B68,1,0,$D68),TRUE,OFFSET(Y68,1,0,$D68))/SUMIF(OFFSET($B68,1,0,$D68),TRUE,OFFSET($K68,1,0,$D68))*$N66,2))</f>
        <v>0</v>
      </c>
      <c r="Z68" s="169">
        <f t="shared" ref="Z68" ca="1" si="734">IF($B68,ROUND(Z67*$N66,2),ROUND(SUMIF(OFFSET($B68,1,0,$D68),TRUE,OFFSET(Z68,1,0,$D68))/SUMIF(OFFSET($B68,1,0,$D68),TRUE,OFFSET($K68,1,0,$D68))*$N66,2))</f>
        <v>0</v>
      </c>
      <c r="AA68" s="169">
        <f t="shared" ref="AA68" ca="1" si="735">IF($B68,ROUND(AA67*$N66,2),ROUND(SUMIF(OFFSET($B68,1,0,$D68),TRUE,OFFSET(AA68,1,0,$D68))/SUMIF(OFFSET($B68,1,0,$D68),TRUE,OFFSET($K68,1,0,$D68))*$N66,2))</f>
        <v>0</v>
      </c>
      <c r="AB68" s="169">
        <f t="shared" ref="AB68" ca="1" si="736">IF($B68,ROUND(AB67*$N66,2),ROUND(SUMIF(OFFSET($B68,1,0,$D68),TRUE,OFFSET(AB68,1,0,$D68))/SUMIF(OFFSET($B68,1,0,$D68),TRUE,OFFSET($K68,1,0,$D68))*$N66,2))</f>
        <v>0</v>
      </c>
      <c r="AC68" s="169">
        <f t="shared" ref="AC68" ca="1" si="737">IF($B68,ROUND(AC67*$N66,2),ROUND(SUMIF(OFFSET($B68,1,0,$D68),TRUE,OFFSET(AC68,1,0,$D68))/SUMIF(OFFSET($B68,1,0,$D68),TRUE,OFFSET($K68,1,0,$D68))*$N66,2))</f>
        <v>0</v>
      </c>
      <c r="AD68" s="169">
        <f t="shared" ref="AD68" ca="1" si="738">IF($B68,ROUND(AD67*$N66,2),ROUND(SUMIF(OFFSET($B68,1,0,$D68),TRUE,OFFSET(AD68,1,0,$D68))/SUMIF(OFFSET($B68,1,0,$D68),TRUE,OFFSET($K68,1,0,$D68))*$N66,2))</f>
        <v>0</v>
      </c>
      <c r="AE68" s="207">
        <f t="shared" ref="AE68" ca="1" si="739">IF($B68,ROUND(AE67*$N66,2),ROUND(SUMIF(OFFSET($B68,1,0,$D68),TRUE,OFFSET(AE68,1,0,$D68))/SUMIF(OFFSET($B68,1,0,$D68),TRUE,OFFSET($K68,1,0,$D68))*$N66,2))</f>
        <v>0</v>
      </c>
      <c r="AF68" s="196"/>
      <c r="AK68" s="169">
        <f t="shared" ref="AK68" ca="1" si="740">IF($B68,ROUND(AK67*$N66,2),ROUND(SUMIF(OFFSET($B68,1,0,$D68),TRUE,OFFSET(AK68,1,0,$D68))/SUMIF(OFFSET($B68,1,0,$D68),TRUE,OFFSET($K68,1,0,$D68))*$N66,2))</f>
        <v>0</v>
      </c>
    </row>
    <row r="69" spans="1:37" customFormat="1" ht="14.25" customHeight="1" x14ac:dyDescent="0.2">
      <c r="A69" s="82"/>
      <c r="B69" s="82"/>
      <c r="C69" s="82"/>
      <c r="D69" s="82"/>
      <c r="E69" s="82"/>
      <c r="F69" s="82"/>
      <c r="G69" s="82"/>
      <c r="H69" s="82"/>
      <c r="I69" s="82"/>
      <c r="J69" s="82"/>
      <c r="K69" s="82"/>
      <c r="L69" s="374" t="str">
        <f ca="1">INDEX(PO!K$12:K$227,MATCH($A71,PO!$V$12:$V$227,0))</f>
        <v>1.17.</v>
      </c>
      <c r="M69" s="376" t="str">
        <f ca="1">INDEX(PO!N$12:N$227,MATCH($A71,PO!$V$12:$V$227,0))</f>
        <v>SISTEMA DE PROTEÇÃO CONTRA DESCARGAS ATMOSFÉRICAS (SPDA)</v>
      </c>
      <c r="N69" s="378">
        <f t="shared" ref="N69" ca="1" si="741">IF(ROUND(K71,2)=0,K71,ROUND(K71,2))</f>
        <v>9.9999999999999998E-13</v>
      </c>
      <c r="O69" s="220" t="s">
        <v>143</v>
      </c>
      <c r="P69" s="225">
        <f t="shared" ref="P69" ca="1" si="742">IF($B71,0,P70-IF(ISNUMBER(O70),O70,0))</f>
        <v>0</v>
      </c>
      <c r="Q69" s="226">
        <f t="shared" ref="Q69" ca="1" si="743">IF($B71,0,Q70-IF(ISNUMBER(P70),P70,0))</f>
        <v>0</v>
      </c>
      <c r="R69" s="226">
        <f t="shared" ref="R69" ca="1" si="744">IF($B71,0,R70-IF(ISNUMBER(Q70),Q70,0))</f>
        <v>0</v>
      </c>
      <c r="S69" s="226">
        <f t="shared" ref="S69" ca="1" si="745">IF($B71,0,S70-IF(ISNUMBER(R70),R70,0))</f>
        <v>0</v>
      </c>
      <c r="T69" s="226">
        <f t="shared" ref="T69" ca="1" si="746">IF($B71,0,T70-IF(ISNUMBER(S70),S70,0))</f>
        <v>0</v>
      </c>
      <c r="U69" s="226">
        <f t="shared" ref="U69" ca="1" si="747">IF($B71,0,U70-IF(ISNUMBER(T70),T70,0))</f>
        <v>0</v>
      </c>
      <c r="V69" s="226">
        <f t="shared" ref="V69" ca="1" si="748">IF($B71,0,V70-IF(ISNUMBER(U70),U70,0))</f>
        <v>0</v>
      </c>
      <c r="W69" s="227">
        <f t="shared" ref="W69" ca="1" si="749">IF($B71,0,W70-IF(ISNUMBER(V70),V70,0))</f>
        <v>0</v>
      </c>
      <c r="X69" s="225">
        <f t="shared" ref="X69" ca="1" si="750">IF($B71,0,X70-IF(ISNUMBER(W70),W70,0))</f>
        <v>0</v>
      </c>
      <c r="Y69" s="226">
        <v>0.5</v>
      </c>
      <c r="Z69" s="226">
        <v>0.3</v>
      </c>
      <c r="AA69" s="226">
        <v>0.2</v>
      </c>
      <c r="AB69" s="226">
        <f t="shared" ref="AB69" ca="1" si="751">IF($B71,0,AB70-IF(ISNUMBER(AA70),AA70,0))</f>
        <v>0</v>
      </c>
      <c r="AC69" s="226">
        <f t="shared" ref="AC69" ca="1" si="752">IF($B71,0,AC70-IF(ISNUMBER(AB70),AB70,0))</f>
        <v>0</v>
      </c>
      <c r="AD69" s="226">
        <f t="shared" ref="AD69" ca="1" si="753">IF($B71,0,AD70-IF(ISNUMBER(AC70),AC70,0))</f>
        <v>0</v>
      </c>
      <c r="AE69" s="227">
        <f t="shared" ref="AE69" ca="1" si="754">IF($B71,0,AE70-IF(ISNUMBER(AD70),AD70,0))</f>
        <v>0</v>
      </c>
      <c r="AF69" s="196"/>
      <c r="AK69" s="221">
        <f t="shared" ref="AK69" ca="1" si="755">IF($B71,0,AK70-IF(ISNUMBER(AJ70),AJ70,0))</f>
        <v>0</v>
      </c>
    </row>
    <row r="70" spans="1:37" customFormat="1" ht="14.25" x14ac:dyDescent="0.2">
      <c r="A70" s="184"/>
      <c r="B70" s="184"/>
      <c r="C70" s="184"/>
      <c r="D70" s="184"/>
      <c r="E70" s="184"/>
      <c r="F70" s="184"/>
      <c r="G70" s="184"/>
      <c r="H70" s="184"/>
      <c r="I70" s="184"/>
      <c r="J70" s="184"/>
      <c r="K70" s="184"/>
      <c r="L70" s="375"/>
      <c r="M70" s="377"/>
      <c r="N70" s="379"/>
      <c r="O70" s="170" t="s">
        <v>145</v>
      </c>
      <c r="P70" s="198">
        <f t="shared" ref="P70" ca="1" si="756">MIN(IF($B71,P69+IF(ISNUMBER(O70),O70,0),P71/$N69),1)</f>
        <v>0</v>
      </c>
      <c r="Q70" s="168">
        <f t="shared" ref="Q70" ca="1" si="757">MIN(IF($B71,Q69+IF(ISNUMBER(P70),P70,0),Q71/$N69),1)</f>
        <v>0</v>
      </c>
      <c r="R70" s="168">
        <f t="shared" ref="R70" ca="1" si="758">MIN(IF($B71,R69+IF(ISNUMBER(Q70),Q70,0),R71/$N69),1)</f>
        <v>0</v>
      </c>
      <c r="S70" s="168">
        <f t="shared" ref="S70" ca="1" si="759">MIN(IF($B71,S69+IF(ISNUMBER(R70),R70,0),S71/$N69),1)</f>
        <v>0</v>
      </c>
      <c r="T70" s="168">
        <f t="shared" ref="T70" ca="1" si="760">MIN(IF($B71,T69+IF(ISNUMBER(S70),S70,0),T71/$N69),1)</f>
        <v>0</v>
      </c>
      <c r="U70" s="168">
        <f t="shared" ref="U70" ca="1" si="761">MIN(IF($B71,U69+IF(ISNUMBER(T70),T70,0),U71/$N69),1)</f>
        <v>0</v>
      </c>
      <c r="V70" s="168">
        <f t="shared" ref="V70" ca="1" si="762">MIN(IF($B71,V69+IF(ISNUMBER(U70),U70,0),V71/$N69),1)</f>
        <v>0</v>
      </c>
      <c r="W70" s="168">
        <f t="shared" ref="W70" ca="1" si="763">MIN(IF($B71,W69+IF(ISNUMBER(V70),V70,0),W71/$N69),1)</f>
        <v>0</v>
      </c>
      <c r="X70" s="198">
        <f t="shared" ref="X70" ca="1" si="764">MIN(IF($B71,X69+IF(ISNUMBER(W70),W70,0),X71/$N69),1)</f>
        <v>0</v>
      </c>
      <c r="Y70" s="168">
        <f t="shared" ref="Y70" ca="1" si="765">MIN(IF($B71,Y69+IF(ISNUMBER(X70),X70,0),Y71/$N69),1)</f>
        <v>0.5</v>
      </c>
      <c r="Z70" s="168">
        <f t="shared" ref="Z70" ca="1" si="766">MIN(IF($B71,Z69+IF(ISNUMBER(Y70),Y70,0),Z71/$N69),1)</f>
        <v>0.8</v>
      </c>
      <c r="AA70" s="168">
        <f t="shared" ref="AA70" ca="1" si="767">MIN(IF($B71,AA69+IF(ISNUMBER(Z70),Z70,0),AA71/$N69),1)</f>
        <v>1</v>
      </c>
      <c r="AB70" s="168">
        <f t="shared" ref="AB70" ca="1" si="768">MIN(IF($B71,AB69+IF(ISNUMBER(AA70),AA70,0),AB71/$N69),1)</f>
        <v>1</v>
      </c>
      <c r="AC70" s="168">
        <f t="shared" ref="AC70" ca="1" si="769">MIN(IF($B71,AC69+IF(ISNUMBER(AB70),AB70,0),AC71/$N69),1)</f>
        <v>1</v>
      </c>
      <c r="AD70" s="168">
        <f t="shared" ref="AD70" ca="1" si="770">MIN(IF($B71,AD69+IF(ISNUMBER(AC70),AC70,0),AD71/$N69),1)</f>
        <v>1</v>
      </c>
      <c r="AE70" s="168">
        <f t="shared" ref="AE70" ca="1" si="771">MIN(IF($B71,AE69+IF(ISNUMBER(AD70),AD70,0),AE71/$N69),1)</f>
        <v>1</v>
      </c>
      <c r="AF70" s="196"/>
      <c r="AK70" s="168">
        <f t="shared" ref="AK70" ca="1" si="772">MIN(IF($B71,AK69+IF(ISNUMBER(AJ70),AJ70,0),AK71/$N69),1)</f>
        <v>0</v>
      </c>
    </row>
    <row r="71" spans="1:37" customFormat="1" ht="14.25" x14ac:dyDescent="0.2">
      <c r="A71" s="184">
        <f ca="1">OFFSET(A71,-CFF.NumLinha,0)+1</f>
        <v>18</v>
      </c>
      <c r="B71" s="184" t="b">
        <f ca="1">$C71&gt;=OFFSET($C71,CFF.NumLinha,0)</f>
        <v>1</v>
      </c>
      <c r="C71" s="184">
        <f ca="1">INDEX(PO!A$12:A$227,MATCH($A71,PO!$V$12:$V$227,0))</f>
        <v>2</v>
      </c>
      <c r="D71" s="184">
        <f t="shared" ref="D71" ca="1" si="773">IF(ISERROR(J71),I71,SMALL(I71:J71,1))-1</f>
        <v>2</v>
      </c>
      <c r="E71" s="184">
        <f ca="1">IF($C71=1,OFFSET(E71,-CFF.NumLinha,0)+1,OFFSET(E71,-CFF.NumLinha,0))</f>
        <v>1</v>
      </c>
      <c r="F71" s="184">
        <f ca="1">IF($C71=1,0,IF($C71=2,OFFSET(F71,-CFF.NumLinha,0)+1,OFFSET(F71,-CFF.NumLinha,0)))</f>
        <v>17</v>
      </c>
      <c r="G71" s="184">
        <f ca="1">IF(AND($C71&lt;=2,$C71&lt;&gt;0),0,IF($C71=3,OFFSET(G71,-CFF.NumLinha,0)+1,OFFSET(G71,-CFF.NumLinha,0)))</f>
        <v>0</v>
      </c>
      <c r="H71" s="184">
        <f ca="1">IF(AND($C71&lt;=3,$C71&lt;&gt;0),0,IF($C71=4,OFFSET(H71,-CFF.NumLinha,0)+1,OFFSET(H71,-CFF.NumLinha,0)))</f>
        <v>0</v>
      </c>
      <c r="I71" s="184">
        <f t="shared" ref="I71" ca="1" si="774">MATCH(0,OFFSET($D71,1,$C71,ROW($A$75)-ROW($A71)),0)</f>
        <v>4</v>
      </c>
      <c r="J71" s="184">
        <f t="shared" ref="J71" ca="1" si="775">MATCH(OFFSET($D71,0,$C71)+1,OFFSET($D71,1,$C71,ROW($A$75)-ROW($A71)),0)</f>
        <v>3</v>
      </c>
      <c r="K71" s="185">
        <f ca="1">ROUND(INDEX(PO!T$12:T$227,MATCH($A71,PO!$V$12:$V$227,0)),2)+10^-12</f>
        <v>9.9999999999999998E-13</v>
      </c>
      <c r="L71" s="375"/>
      <c r="M71" s="377"/>
      <c r="N71" s="379"/>
      <c r="O71" s="204" t="s">
        <v>20</v>
      </c>
      <c r="P71" s="199">
        <f t="shared" ref="P71:W71" ca="1" si="776">IF($B71,ROUND(P70*$N69,2),ROUND(SUMIF(OFFSET($B71,1,0,$D71),TRUE,OFFSET(P71,1,0,$D71))/SUMIF(OFFSET($B71,1,0,$D71),TRUE,OFFSET($K71,1,0,$D71))*$N69,2))</f>
        <v>0</v>
      </c>
      <c r="Q71" s="169">
        <f t="shared" ca="1" si="776"/>
        <v>0</v>
      </c>
      <c r="R71" s="169">
        <f t="shared" ca="1" si="776"/>
        <v>0</v>
      </c>
      <c r="S71" s="169">
        <f t="shared" ca="1" si="776"/>
        <v>0</v>
      </c>
      <c r="T71" s="169">
        <f t="shared" ca="1" si="776"/>
        <v>0</v>
      </c>
      <c r="U71" s="169">
        <f t="shared" ca="1" si="776"/>
        <v>0</v>
      </c>
      <c r="V71" s="169">
        <f t="shared" ca="1" si="776"/>
        <v>0</v>
      </c>
      <c r="W71" s="207">
        <f t="shared" ca="1" si="776"/>
        <v>0</v>
      </c>
      <c r="X71" s="199">
        <f t="shared" ref="X71" ca="1" si="777">IF($B71,ROUND(X70*$N69,2),ROUND(SUMIF(OFFSET($B71,1,0,$D71),TRUE,OFFSET(X71,1,0,$D71))/SUMIF(OFFSET($B71,1,0,$D71),TRUE,OFFSET($K71,1,0,$D71))*$N69,2))</f>
        <v>0</v>
      </c>
      <c r="Y71" s="169">
        <f t="shared" ref="Y71" ca="1" si="778">IF($B71,ROUND(Y70*$N69,2),ROUND(SUMIF(OFFSET($B71,1,0,$D71),TRUE,OFFSET(Y71,1,0,$D71))/SUMIF(OFFSET($B71,1,0,$D71),TRUE,OFFSET($K71,1,0,$D71))*$N69,2))</f>
        <v>0</v>
      </c>
      <c r="Z71" s="169">
        <f t="shared" ref="Z71" ca="1" si="779">IF($B71,ROUND(Z70*$N69,2),ROUND(SUMIF(OFFSET($B71,1,0,$D71),TRUE,OFFSET(Z71,1,0,$D71))/SUMIF(OFFSET($B71,1,0,$D71),TRUE,OFFSET($K71,1,0,$D71))*$N69,2))</f>
        <v>0</v>
      </c>
      <c r="AA71" s="169">
        <f t="shared" ref="AA71" ca="1" si="780">IF($B71,ROUND(AA70*$N69,2),ROUND(SUMIF(OFFSET($B71,1,0,$D71),TRUE,OFFSET(AA71,1,0,$D71))/SUMIF(OFFSET($B71,1,0,$D71),TRUE,OFFSET($K71,1,0,$D71))*$N69,2))</f>
        <v>0</v>
      </c>
      <c r="AB71" s="169">
        <f t="shared" ref="AB71" ca="1" si="781">IF($B71,ROUND(AB70*$N69,2),ROUND(SUMIF(OFFSET($B71,1,0,$D71),TRUE,OFFSET(AB71,1,0,$D71))/SUMIF(OFFSET($B71,1,0,$D71),TRUE,OFFSET($K71,1,0,$D71))*$N69,2))</f>
        <v>0</v>
      </c>
      <c r="AC71" s="169">
        <f t="shared" ref="AC71" ca="1" si="782">IF($B71,ROUND(AC70*$N69,2),ROUND(SUMIF(OFFSET($B71,1,0,$D71),TRUE,OFFSET(AC71,1,0,$D71))/SUMIF(OFFSET($B71,1,0,$D71),TRUE,OFFSET($K71,1,0,$D71))*$N69,2))</f>
        <v>0</v>
      </c>
      <c r="AD71" s="169">
        <f t="shared" ref="AD71" ca="1" si="783">IF($B71,ROUND(AD70*$N69,2),ROUND(SUMIF(OFFSET($B71,1,0,$D71),TRUE,OFFSET(AD71,1,0,$D71))/SUMIF(OFFSET($B71,1,0,$D71),TRUE,OFFSET($K71,1,0,$D71))*$N69,2))</f>
        <v>0</v>
      </c>
      <c r="AE71" s="207">
        <f t="shared" ref="AE71" ca="1" si="784">IF($B71,ROUND(AE70*$N69,2),ROUND(SUMIF(OFFSET($B71,1,0,$D71),TRUE,OFFSET(AE71,1,0,$D71))/SUMIF(OFFSET($B71,1,0,$D71),TRUE,OFFSET($K71,1,0,$D71))*$N69,2))</f>
        <v>0</v>
      </c>
      <c r="AF71" s="196"/>
      <c r="AK71" s="169">
        <f t="shared" ref="AK71" ca="1" si="785">IF($B71,ROUND(AK70*$N69,2),ROUND(SUMIF(OFFSET($B71,1,0,$D71),TRUE,OFFSET(AK71,1,0,$D71))/SUMIF(OFFSET($B71,1,0,$D71),TRUE,OFFSET($K71,1,0,$D71))*$N69,2))</f>
        <v>0</v>
      </c>
    </row>
    <row r="72" spans="1:37" customFormat="1" ht="14.25" customHeight="1" x14ac:dyDescent="0.2">
      <c r="A72" s="82"/>
      <c r="B72" s="82"/>
      <c r="C72" s="82"/>
      <c r="D72" s="82"/>
      <c r="E72" s="82"/>
      <c r="F72" s="82"/>
      <c r="G72" s="82"/>
      <c r="H72" s="82"/>
      <c r="I72" s="82"/>
      <c r="J72" s="82"/>
      <c r="K72" s="82"/>
      <c r="L72" s="374" t="str">
        <f ca="1">INDEX(PO!K$12:K$227,MATCH($A74,PO!$V$12:$V$227,0))</f>
        <v>1.18.</v>
      </c>
      <c r="M72" s="376" t="str">
        <f ca="1">INDEX(PO!N$12:N$227,MATCH($A74,PO!$V$12:$V$227,0))</f>
        <v>SERVIÇOS COMPLEMENTARES</v>
      </c>
      <c r="N72" s="378">
        <f t="shared" ref="N72" ca="1" si="786">IF(ROUND(K74,2)=0,K74,ROUND(K74,2))</f>
        <v>9.9999999999999998E-13</v>
      </c>
      <c r="O72" s="220" t="s">
        <v>143</v>
      </c>
      <c r="P72" s="225">
        <f t="shared" ref="P72" ca="1" si="787">IF($B74,0,P73-IF(ISNUMBER(O73),O73,0))</f>
        <v>0</v>
      </c>
      <c r="Q72" s="226">
        <f t="shared" ref="Q72" ca="1" si="788">IF($B74,0,Q73-IF(ISNUMBER(P73),P73,0))</f>
        <v>0</v>
      </c>
      <c r="R72" s="226">
        <f t="shared" ref="R72" ca="1" si="789">IF($B74,0,R73-IF(ISNUMBER(Q73),Q73,0))</f>
        <v>0</v>
      </c>
      <c r="S72" s="226">
        <f t="shared" ref="S72" ca="1" si="790">IF($B74,0,S73-IF(ISNUMBER(R73),R73,0))</f>
        <v>0</v>
      </c>
      <c r="T72" s="226">
        <f t="shared" ref="T72" ca="1" si="791">IF($B74,0,T73-IF(ISNUMBER(S73),S73,0))</f>
        <v>0</v>
      </c>
      <c r="U72" s="226">
        <f t="shared" ref="U72" ca="1" si="792">IF($B74,0,U73-IF(ISNUMBER(T73),T73,0))</f>
        <v>0</v>
      </c>
      <c r="V72" s="226">
        <f t="shared" ref="V72" ca="1" si="793">IF($B74,0,V73-IF(ISNUMBER(U73),U73,0))</f>
        <v>0</v>
      </c>
      <c r="W72" s="227">
        <f t="shared" ref="W72" ca="1" si="794">IF($B74,0,W73-IF(ISNUMBER(V73),V73,0))</f>
        <v>0</v>
      </c>
      <c r="X72" s="225">
        <f t="shared" ref="X72" ca="1" si="795">IF($B74,0,X73-IF(ISNUMBER(W73),W73,0))</f>
        <v>0</v>
      </c>
      <c r="Y72" s="226">
        <f t="shared" ref="Y72" ca="1" si="796">IF($B74,0,Y73-IF(ISNUMBER(X73),X73,0))</f>
        <v>0</v>
      </c>
      <c r="Z72" s="226">
        <f t="shared" ref="Z72" ca="1" si="797">IF($B74,0,Z73-IF(ISNUMBER(Y73),Y73,0))</f>
        <v>0</v>
      </c>
      <c r="AA72" s="226">
        <v>1</v>
      </c>
      <c r="AB72" s="226">
        <f t="shared" ref="AB72" ca="1" si="798">IF($B74,0,AB73-IF(ISNUMBER(AA73),AA73,0))</f>
        <v>0</v>
      </c>
      <c r="AC72" s="226">
        <f t="shared" ref="AC72" ca="1" si="799">IF($B74,0,AC73-IF(ISNUMBER(AB73),AB73,0))</f>
        <v>0</v>
      </c>
      <c r="AD72" s="226">
        <f t="shared" ref="AD72" ca="1" si="800">IF($B74,0,AD73-IF(ISNUMBER(AC73),AC73,0))</f>
        <v>0</v>
      </c>
      <c r="AE72" s="227">
        <f t="shared" ref="AE72" ca="1" si="801">IF($B74,0,AE73-IF(ISNUMBER(AD73),AD73,0))</f>
        <v>0</v>
      </c>
      <c r="AF72" s="196"/>
      <c r="AK72" s="221">
        <f t="shared" ref="AK72" ca="1" si="802">IF($B74,0,AK73-IF(ISNUMBER(AJ73),AJ73,0))</f>
        <v>0</v>
      </c>
    </row>
    <row r="73" spans="1:37" customFormat="1" ht="14.25" x14ac:dyDescent="0.2">
      <c r="A73" s="184"/>
      <c r="B73" s="184"/>
      <c r="C73" s="184"/>
      <c r="D73" s="184"/>
      <c r="E73" s="184"/>
      <c r="F73" s="184"/>
      <c r="G73" s="184"/>
      <c r="H73" s="184"/>
      <c r="I73" s="184"/>
      <c r="J73" s="184"/>
      <c r="K73" s="184"/>
      <c r="L73" s="375"/>
      <c r="M73" s="377"/>
      <c r="N73" s="379"/>
      <c r="O73" s="170" t="s">
        <v>145</v>
      </c>
      <c r="P73" s="198">
        <f t="shared" ref="P73" ca="1" si="803">MIN(IF($B74,P72+IF(ISNUMBER(O73),O73,0),P74/$N72),1)</f>
        <v>0</v>
      </c>
      <c r="Q73" s="168">
        <f t="shared" ref="Q73" ca="1" si="804">MIN(IF($B74,Q72+IF(ISNUMBER(P73),P73,0),Q74/$N72),1)</f>
        <v>0</v>
      </c>
      <c r="R73" s="168">
        <f t="shared" ref="R73" ca="1" si="805">MIN(IF($B74,R72+IF(ISNUMBER(Q73),Q73,0),R74/$N72),1)</f>
        <v>0</v>
      </c>
      <c r="S73" s="168">
        <f t="shared" ref="S73" ca="1" si="806">MIN(IF($B74,S72+IF(ISNUMBER(R73),R73,0),S74/$N72),1)</f>
        <v>0</v>
      </c>
      <c r="T73" s="168">
        <f t="shared" ref="T73" ca="1" si="807">MIN(IF($B74,T72+IF(ISNUMBER(S73),S73,0),T74/$N72),1)</f>
        <v>0</v>
      </c>
      <c r="U73" s="168">
        <f t="shared" ref="U73" ca="1" si="808">MIN(IF($B74,U72+IF(ISNUMBER(T73),T73,0),U74/$N72),1)</f>
        <v>0</v>
      </c>
      <c r="V73" s="168">
        <f t="shared" ref="V73" ca="1" si="809">MIN(IF($B74,V72+IF(ISNUMBER(U73),U73,0),V74/$N72),1)</f>
        <v>0</v>
      </c>
      <c r="W73" s="168">
        <f t="shared" ref="W73" ca="1" si="810">MIN(IF($B74,W72+IF(ISNUMBER(V73),V73,0),W74/$N72),1)</f>
        <v>0</v>
      </c>
      <c r="X73" s="198">
        <f t="shared" ref="X73" ca="1" si="811">MIN(IF($B74,X72+IF(ISNUMBER(W73),W73,0),X74/$N72),1)</f>
        <v>0</v>
      </c>
      <c r="Y73" s="168">
        <f t="shared" ref="Y73" ca="1" si="812">MIN(IF($B74,Y72+IF(ISNUMBER(X73),X73,0),Y74/$N72),1)</f>
        <v>0</v>
      </c>
      <c r="Z73" s="168">
        <f t="shared" ref="Z73" ca="1" si="813">MIN(IF($B74,Z72+IF(ISNUMBER(Y73),Y73,0),Z74/$N72),1)</f>
        <v>0</v>
      </c>
      <c r="AA73" s="168">
        <f t="shared" ref="AA73" ca="1" si="814">MIN(IF($B74,AA72+IF(ISNUMBER(Z73),Z73,0),AA74/$N72),1)</f>
        <v>1</v>
      </c>
      <c r="AB73" s="168">
        <f t="shared" ref="AB73" ca="1" si="815">MIN(IF($B74,AB72+IF(ISNUMBER(AA73),AA73,0),AB74/$N72),1)</f>
        <v>1</v>
      </c>
      <c r="AC73" s="168">
        <f t="shared" ref="AC73" ca="1" si="816">MIN(IF($B74,AC72+IF(ISNUMBER(AB73),AB73,0),AC74/$N72),1)</f>
        <v>1</v>
      </c>
      <c r="AD73" s="168">
        <f t="shared" ref="AD73" ca="1" si="817">MIN(IF($B74,AD72+IF(ISNUMBER(AC73),AC73,0),AD74/$N72),1)</f>
        <v>1</v>
      </c>
      <c r="AE73" s="168">
        <f t="shared" ref="AE73" ca="1" si="818">MIN(IF($B74,AE72+IF(ISNUMBER(AD73),AD73,0),AE74/$N72),1)</f>
        <v>1</v>
      </c>
      <c r="AF73" s="196"/>
      <c r="AK73" s="168">
        <f t="shared" ref="AK73" ca="1" si="819">MIN(IF($B74,AK72+IF(ISNUMBER(AJ73),AJ73,0),AK74/$N72),1)</f>
        <v>0</v>
      </c>
    </row>
    <row r="74" spans="1:37" customFormat="1" ht="14.25" x14ac:dyDescent="0.2">
      <c r="A74" s="184">
        <f ca="1">OFFSET(A74,-CFF.NumLinha,0)+1</f>
        <v>19</v>
      </c>
      <c r="B74" s="184" t="b">
        <f ca="1">$C74&gt;=OFFSET($C74,CFF.NumLinha,0)</f>
        <v>1</v>
      </c>
      <c r="C74" s="184">
        <f ca="1">INDEX(PO!A$12:A$227,MATCH($A74,PO!$V$12:$V$227,0))</f>
        <v>2</v>
      </c>
      <c r="D74" s="184">
        <f t="shared" ref="D74" ca="1" si="820">IF(ISERROR(J74),I74,SMALL(I74:J74,1))-1</f>
        <v>0</v>
      </c>
      <c r="E74" s="184">
        <f ca="1">IF($C74=1,OFFSET(E74,-CFF.NumLinha,0)+1,OFFSET(E74,-CFF.NumLinha,0))</f>
        <v>1</v>
      </c>
      <c r="F74" s="184">
        <f ca="1">IF($C74=1,0,IF($C74=2,OFFSET(F74,-CFF.NumLinha,0)+1,OFFSET(F74,-CFF.NumLinha,0)))</f>
        <v>18</v>
      </c>
      <c r="G74" s="184">
        <f ca="1">IF(AND($C74&lt;=2,$C74&lt;&gt;0),0,IF($C74=3,OFFSET(G74,-CFF.NumLinha,0)+1,OFFSET(G74,-CFF.NumLinha,0)))</f>
        <v>0</v>
      </c>
      <c r="H74" s="184">
        <f ca="1">IF(AND($C74&lt;=3,$C74&lt;&gt;0),0,IF($C74=4,OFFSET(H74,-CFF.NumLinha,0)+1,OFFSET(H74,-CFF.NumLinha,0)))</f>
        <v>0</v>
      </c>
      <c r="I74" s="184">
        <f t="shared" ref="I74" ca="1" si="821">MATCH(0,OFFSET($D74,1,$C74,ROW($A$75)-ROW($A74)),0)</f>
        <v>1</v>
      </c>
      <c r="J74" s="184" t="e">
        <f t="shared" ref="J74" ca="1" si="822">MATCH(OFFSET($D74,0,$C74)+1,OFFSET($D74,1,$C74,ROW($A$75)-ROW($A74)),0)</f>
        <v>#N/A</v>
      </c>
      <c r="K74" s="185">
        <f ca="1">ROUND(INDEX(PO!T$12:T$227,MATCH($A74,PO!$V$12:$V$227,0)),2)+10^-12</f>
        <v>9.9999999999999998E-13</v>
      </c>
      <c r="L74" s="375"/>
      <c r="M74" s="377"/>
      <c r="N74" s="379"/>
      <c r="O74" s="204" t="s">
        <v>20</v>
      </c>
      <c r="P74" s="199">
        <f t="shared" ref="P74:W74" ca="1" si="823">IF($B74,ROUND(P73*$N72,2),ROUND(SUMIF(OFFSET($B74,1,0,$D74),TRUE,OFFSET(P74,1,0,$D74))/SUMIF(OFFSET($B74,1,0,$D74),TRUE,OFFSET($K74,1,0,$D74))*$N72,2))</f>
        <v>0</v>
      </c>
      <c r="Q74" s="169">
        <f t="shared" ca="1" si="823"/>
        <v>0</v>
      </c>
      <c r="R74" s="169">
        <f t="shared" ca="1" si="823"/>
        <v>0</v>
      </c>
      <c r="S74" s="169">
        <f t="shared" ca="1" si="823"/>
        <v>0</v>
      </c>
      <c r="T74" s="169">
        <f t="shared" ca="1" si="823"/>
        <v>0</v>
      </c>
      <c r="U74" s="169">
        <f t="shared" ca="1" si="823"/>
        <v>0</v>
      </c>
      <c r="V74" s="169">
        <f t="shared" ca="1" si="823"/>
        <v>0</v>
      </c>
      <c r="W74" s="207">
        <f t="shared" ca="1" si="823"/>
        <v>0</v>
      </c>
      <c r="X74" s="199">
        <f t="shared" ref="X74" ca="1" si="824">IF($B74,ROUND(X73*$N72,2),ROUND(SUMIF(OFFSET($B74,1,0,$D74),TRUE,OFFSET(X74,1,0,$D74))/SUMIF(OFFSET($B74,1,0,$D74),TRUE,OFFSET($K74,1,0,$D74))*$N72,2))</f>
        <v>0</v>
      </c>
      <c r="Y74" s="169">
        <f t="shared" ref="Y74" ca="1" si="825">IF($B74,ROUND(Y73*$N72,2),ROUND(SUMIF(OFFSET($B74,1,0,$D74),TRUE,OFFSET(Y74,1,0,$D74))/SUMIF(OFFSET($B74,1,0,$D74),TRUE,OFFSET($K74,1,0,$D74))*$N72,2))</f>
        <v>0</v>
      </c>
      <c r="Z74" s="169">
        <f t="shared" ref="Z74" ca="1" si="826">IF($B74,ROUND(Z73*$N72,2),ROUND(SUMIF(OFFSET($B74,1,0,$D74),TRUE,OFFSET(Z74,1,0,$D74))/SUMIF(OFFSET($B74,1,0,$D74),TRUE,OFFSET($K74,1,0,$D74))*$N72,2))</f>
        <v>0</v>
      </c>
      <c r="AA74" s="169">
        <f t="shared" ref="AA74" ca="1" si="827">IF($B74,ROUND(AA73*$N72,2),ROUND(SUMIF(OFFSET($B74,1,0,$D74),TRUE,OFFSET(AA74,1,0,$D74))/SUMIF(OFFSET($B74,1,0,$D74),TRUE,OFFSET($K74,1,0,$D74))*$N72,2))</f>
        <v>0</v>
      </c>
      <c r="AB74" s="169">
        <f t="shared" ref="AB74" ca="1" si="828">IF($B74,ROUND(AB73*$N72,2),ROUND(SUMIF(OFFSET($B74,1,0,$D74),TRUE,OFFSET(AB74,1,0,$D74))/SUMIF(OFFSET($B74,1,0,$D74),TRUE,OFFSET($K74,1,0,$D74))*$N72,2))</f>
        <v>0</v>
      </c>
      <c r="AC74" s="169">
        <f t="shared" ref="AC74" ca="1" si="829">IF($B74,ROUND(AC73*$N72,2),ROUND(SUMIF(OFFSET($B74,1,0,$D74),TRUE,OFFSET(AC74,1,0,$D74))/SUMIF(OFFSET($B74,1,0,$D74),TRUE,OFFSET($K74,1,0,$D74))*$N72,2))</f>
        <v>0</v>
      </c>
      <c r="AD74" s="169">
        <f t="shared" ref="AD74" ca="1" si="830">IF($B74,ROUND(AD73*$N72,2),ROUND(SUMIF(OFFSET($B74,1,0,$D74),TRUE,OFFSET(AD74,1,0,$D74))/SUMIF(OFFSET($B74,1,0,$D74),TRUE,OFFSET($K74,1,0,$D74))*$N72,2))</f>
        <v>0</v>
      </c>
      <c r="AE74" s="207">
        <f t="shared" ref="AE74" ca="1" si="831">IF($B74,ROUND(AE73*$N72,2),ROUND(SUMIF(OFFSET($B74,1,0,$D74),TRUE,OFFSET(AE74,1,0,$D74))/SUMIF(OFFSET($B74,1,0,$D74),TRUE,OFFSET($K74,1,0,$D74))*$N72,2))</f>
        <v>0</v>
      </c>
      <c r="AF74" s="196"/>
      <c r="AK74" s="169">
        <f t="shared" ref="AK74" ca="1" si="832">IF($B74,ROUND(AK73*$N72,2),ROUND(SUMIF(OFFSET($B74,1,0,$D74),TRUE,OFFSET(AK74,1,0,$D74))/SUMIF(OFFSET($B74,1,0,$D74),TRUE,OFFSET($K74,1,0,$D74))*$N72,2))</f>
        <v>0</v>
      </c>
    </row>
    <row r="75" spans="1:37" s="45" customFormat="1" ht="12.75" customHeight="1" x14ac:dyDescent="0.2">
      <c r="A75" s="1"/>
      <c r="B75" s="1"/>
      <c r="C75" s="184">
        <v>-1</v>
      </c>
      <c r="D75" s="184"/>
      <c r="E75" s="184">
        <v>0</v>
      </c>
      <c r="F75" s="184">
        <v>0</v>
      </c>
      <c r="G75" s="184">
        <v>0</v>
      </c>
      <c r="H75" s="184">
        <v>0</v>
      </c>
      <c r="I75" s="1"/>
      <c r="J75" s="1"/>
      <c r="K75" s="1"/>
      <c r="L75" s="154"/>
      <c r="M75" s="154"/>
      <c r="N75" s="155"/>
      <c r="O75" s="154"/>
      <c r="P75" s="154"/>
      <c r="Q75" s="155"/>
      <c r="R75" s="154"/>
      <c r="S75" s="154"/>
      <c r="T75" s="154"/>
      <c r="U75" s="154"/>
      <c r="V75" s="154"/>
      <c r="W75" s="154"/>
      <c r="X75" s="154"/>
      <c r="Y75" s="155"/>
      <c r="Z75" s="154"/>
      <c r="AA75" s="154"/>
      <c r="AB75" s="154"/>
      <c r="AC75" s="154"/>
      <c r="AD75" s="154"/>
      <c r="AE75" s="154"/>
      <c r="AF75" s="186"/>
      <c r="AK75" s="154"/>
    </row>
    <row r="76" spans="1:37" ht="12" customHeight="1" x14ac:dyDescent="0.2">
      <c r="A76" s="1"/>
      <c r="B76" s="1"/>
      <c r="C76" s="1"/>
      <c r="D76" s="1"/>
      <c r="E76" s="1"/>
      <c r="F76" s="1"/>
      <c r="G76" s="1"/>
      <c r="H76" s="1"/>
      <c r="I76" s="1"/>
      <c r="J76" s="1"/>
      <c r="K76" s="1"/>
      <c r="L76" s="187"/>
      <c r="M76" s="187"/>
      <c r="N76" s="187"/>
      <c r="O76" s="187"/>
      <c r="P76" s="187"/>
      <c r="Q76" s="187"/>
      <c r="R76" s="187"/>
      <c r="S76" s="187"/>
      <c r="T76" s="187"/>
      <c r="U76" s="187"/>
      <c r="V76" s="187"/>
      <c r="W76" s="187"/>
      <c r="X76" s="187"/>
      <c r="Y76" s="187"/>
      <c r="Z76" s="187"/>
      <c r="AA76" s="187"/>
      <c r="AB76" s="187"/>
      <c r="AC76" s="187"/>
      <c r="AD76" s="187"/>
      <c r="AE76" s="187"/>
      <c r="AF76" s="188"/>
      <c r="AK76" s="187"/>
    </row>
    <row r="77" spans="1:37" x14ac:dyDescent="0.2">
      <c r="A77" s="1"/>
      <c r="B77" s="1"/>
      <c r="C77" s="1"/>
      <c r="D77" s="1"/>
      <c r="E77" s="1"/>
      <c r="F77" s="1"/>
      <c r="G77" s="1"/>
      <c r="H77" s="1"/>
      <c r="I77" s="1"/>
      <c r="J77" s="1"/>
      <c r="K77" s="1"/>
      <c r="L77" s="383">
        <f>DADOS!I32</f>
        <v>0</v>
      </c>
      <c r="M77" s="383"/>
      <c r="N77" s="383"/>
      <c r="O77" s="187"/>
      <c r="P77" s="189"/>
      <c r="Q77" s="373"/>
      <c r="R77" s="373"/>
      <c r="S77" s="373"/>
      <c r="T77" s="187"/>
      <c r="U77" s="187"/>
      <c r="V77" s="187"/>
      <c r="W77" s="187"/>
      <c r="X77" s="189"/>
      <c r="Y77" s="373"/>
      <c r="Z77" s="373"/>
      <c r="AA77" s="373"/>
      <c r="AB77" s="187"/>
      <c r="AC77" s="187"/>
      <c r="AD77" s="187"/>
      <c r="AE77" s="187"/>
      <c r="AF77" s="188"/>
      <c r="AK77" s="187"/>
    </row>
    <row r="78" spans="1:37" x14ac:dyDescent="0.2">
      <c r="A78" s="1"/>
      <c r="B78" s="1"/>
      <c r="C78" s="1"/>
      <c r="D78" s="1"/>
      <c r="E78" s="1"/>
      <c r="F78" s="1"/>
      <c r="G78" s="1"/>
      <c r="H78" s="1"/>
      <c r="I78" s="1"/>
      <c r="J78" s="1"/>
      <c r="K78" s="1"/>
      <c r="L78" s="190" t="s">
        <v>120</v>
      </c>
      <c r="M78" s="382"/>
      <c r="N78" s="382"/>
      <c r="O78" s="187"/>
      <c r="P78" s="189"/>
      <c r="Q78" s="373"/>
      <c r="R78" s="373"/>
      <c r="S78" s="373"/>
      <c r="T78" s="187"/>
      <c r="U78" s="187"/>
      <c r="V78" s="187"/>
      <c r="W78" s="187"/>
      <c r="X78" s="189"/>
      <c r="Y78" s="373"/>
      <c r="Z78" s="373"/>
      <c r="AA78" s="373"/>
      <c r="AB78" s="187"/>
      <c r="AC78" s="187"/>
      <c r="AD78" s="187"/>
      <c r="AE78" s="187"/>
      <c r="AF78" s="188"/>
      <c r="AK78" s="187"/>
    </row>
    <row r="79" spans="1:37" x14ac:dyDescent="0.2">
      <c r="A79" s="1"/>
      <c r="B79" s="1"/>
      <c r="C79" s="1"/>
      <c r="D79" s="1"/>
      <c r="E79" s="1"/>
      <c r="F79" s="1"/>
      <c r="G79" s="1"/>
      <c r="H79" s="1"/>
      <c r="I79" s="1"/>
      <c r="J79" s="1"/>
      <c r="K79" s="1"/>
      <c r="L79" s="189"/>
      <c r="M79" s="381"/>
      <c r="N79" s="382"/>
      <c r="O79" s="187"/>
      <c r="P79" s="189"/>
      <c r="Q79" s="373"/>
      <c r="R79" s="373"/>
      <c r="S79" s="373"/>
      <c r="T79" s="187"/>
      <c r="U79" s="187"/>
      <c r="V79" s="187"/>
      <c r="W79" s="187"/>
      <c r="X79" s="189"/>
      <c r="Y79" s="373"/>
      <c r="Z79" s="373"/>
      <c r="AA79" s="373"/>
      <c r="AB79" s="187"/>
      <c r="AC79" s="187"/>
      <c r="AD79" s="187"/>
      <c r="AE79" s="187"/>
      <c r="AF79" s="188"/>
      <c r="AK79" s="187"/>
    </row>
    <row r="80" spans="1:37" x14ac:dyDescent="0.2">
      <c r="A80" s="1"/>
      <c r="B80" s="1"/>
      <c r="C80" s="1"/>
      <c r="D80" s="1"/>
      <c r="E80" s="1"/>
      <c r="F80" s="1"/>
      <c r="G80" s="1"/>
      <c r="H80" s="1"/>
      <c r="I80" s="1"/>
      <c r="J80" s="1"/>
      <c r="K80" s="1"/>
      <c r="L80" s="384">
        <f ca="1">PO!K241</f>
        <v>44770</v>
      </c>
      <c r="M80" s="384"/>
      <c r="N80" s="384"/>
      <c r="O80" s="187"/>
      <c r="P80" s="187"/>
      <c r="Q80" s="187"/>
      <c r="R80" s="187"/>
      <c r="S80" s="187"/>
      <c r="T80" s="187"/>
      <c r="U80" s="187"/>
      <c r="V80" s="187"/>
      <c r="W80" s="187"/>
      <c r="X80" s="187"/>
      <c r="Y80" s="187"/>
      <c r="Z80" s="187"/>
      <c r="AA80" s="187"/>
      <c r="AB80" s="187"/>
      <c r="AC80" s="187"/>
      <c r="AD80" s="187"/>
      <c r="AE80" s="187"/>
      <c r="AF80" s="191"/>
      <c r="AK80" s="187"/>
    </row>
    <row r="81" spans="1:37" x14ac:dyDescent="0.2">
      <c r="A81" s="1"/>
      <c r="B81" s="1"/>
      <c r="C81" s="1"/>
      <c r="D81" s="1"/>
      <c r="E81" s="1"/>
      <c r="F81" s="1"/>
      <c r="G81" s="1"/>
      <c r="H81" s="1"/>
      <c r="I81" s="1"/>
      <c r="J81" s="1"/>
      <c r="K81" s="1"/>
      <c r="L81" s="192" t="s">
        <v>121</v>
      </c>
      <c r="M81" s="193"/>
      <c r="N81" s="193"/>
      <c r="O81" s="187"/>
      <c r="P81" s="187"/>
      <c r="Q81" s="187"/>
      <c r="R81" s="187"/>
      <c r="S81" s="187"/>
      <c r="T81" s="187"/>
      <c r="U81" s="187"/>
      <c r="V81" s="187"/>
      <c r="W81" s="187"/>
      <c r="X81" s="187"/>
      <c r="Y81" s="187"/>
      <c r="Z81" s="187"/>
      <c r="AA81" s="187"/>
      <c r="AB81" s="187"/>
      <c r="AC81" s="187"/>
      <c r="AD81" s="187"/>
      <c r="AE81" s="187"/>
      <c r="AF81" s="191"/>
      <c r="AK81" s="187"/>
    </row>
    <row r="82" spans="1:37" x14ac:dyDescent="0.2">
      <c r="A82" s="1"/>
      <c r="B82" s="1"/>
      <c r="C82" s="1"/>
      <c r="D82" s="1"/>
      <c r="E82" s="1"/>
      <c r="F82" s="1"/>
      <c r="G82" s="1"/>
      <c r="H82" s="1"/>
      <c r="I82" s="1"/>
      <c r="J82" s="1"/>
      <c r="K82" s="1"/>
      <c r="L82" s="187"/>
      <c r="M82" s="187"/>
      <c r="N82" s="187"/>
      <c r="O82" s="187"/>
      <c r="P82" s="187"/>
      <c r="Q82" s="187"/>
      <c r="R82" s="187"/>
      <c r="S82" s="187"/>
      <c r="T82" s="187"/>
      <c r="U82" s="187"/>
      <c r="V82" s="187"/>
      <c r="W82" s="187"/>
      <c r="X82" s="187"/>
      <c r="Y82" s="187"/>
      <c r="Z82" s="187"/>
      <c r="AA82" s="187"/>
      <c r="AB82" s="187"/>
      <c r="AC82" s="187"/>
      <c r="AD82" s="187"/>
      <c r="AE82" s="187"/>
      <c r="AF82" s="191"/>
      <c r="AK82" s="187"/>
    </row>
    <row r="83" spans="1:37" x14ac:dyDescent="0.2">
      <c r="A83" s="1"/>
      <c r="B83" s="1"/>
      <c r="C83" s="1"/>
      <c r="D83" s="1"/>
      <c r="E83" s="1"/>
      <c r="F83" s="1"/>
      <c r="G83" s="1"/>
      <c r="H83" s="1"/>
      <c r="I83" s="1"/>
      <c r="J83" s="1"/>
      <c r="K83" s="1"/>
      <c r="L83" s="187"/>
      <c r="M83" s="187"/>
      <c r="N83" s="194"/>
      <c r="O83" s="187"/>
      <c r="P83" s="187"/>
      <c r="Q83" s="187"/>
      <c r="R83" s="187"/>
      <c r="S83" s="187"/>
      <c r="T83" s="187"/>
      <c r="U83" s="187"/>
      <c r="V83" s="187"/>
      <c r="W83" s="187"/>
      <c r="X83" s="187"/>
      <c r="Y83" s="187"/>
      <c r="Z83" s="187"/>
      <c r="AA83" s="187"/>
      <c r="AB83" s="187"/>
      <c r="AC83" s="187"/>
      <c r="AD83" s="187"/>
      <c r="AE83" s="187"/>
      <c r="AF83" s="188"/>
      <c r="AK83" s="187"/>
    </row>
    <row r="84" spans="1:37" x14ac:dyDescent="0.2">
      <c r="A84" s="1"/>
      <c r="B84" s="1"/>
      <c r="C84" s="1"/>
      <c r="D84" s="1"/>
      <c r="E84" s="1"/>
      <c r="F84" s="1"/>
      <c r="G84" s="1"/>
      <c r="H84" s="1"/>
      <c r="I84" s="1"/>
      <c r="J84" s="1"/>
      <c r="K84" s="1"/>
      <c r="L84" s="187"/>
      <c r="M84" s="187"/>
      <c r="N84" s="194"/>
      <c r="O84" s="187"/>
      <c r="P84" s="187"/>
      <c r="Q84" s="187"/>
      <c r="R84" s="187"/>
      <c r="S84" s="187"/>
      <c r="T84" s="187"/>
      <c r="U84" s="187"/>
      <c r="V84" s="187"/>
      <c r="W84" s="187"/>
      <c r="X84" s="187"/>
      <c r="Y84" s="187"/>
      <c r="Z84" s="187"/>
      <c r="AA84" s="187"/>
      <c r="AB84" s="187"/>
      <c r="AC84" s="187"/>
      <c r="AD84" s="187"/>
      <c r="AE84" s="187"/>
      <c r="AF84" s="188"/>
      <c r="AK84" s="187"/>
    </row>
    <row r="85" spans="1:37" x14ac:dyDescent="0.2">
      <c r="A85" s="1"/>
      <c r="B85" s="1"/>
      <c r="C85" s="1"/>
      <c r="D85" s="1"/>
      <c r="E85" s="1"/>
      <c r="F85" s="1"/>
      <c r="G85" s="1"/>
      <c r="H85" s="1"/>
      <c r="I85" s="1"/>
      <c r="J85" s="1"/>
      <c r="K85" s="1"/>
      <c r="L85" s="82"/>
      <c r="M85" s="82"/>
      <c r="N85" s="7"/>
      <c r="O85" s="82"/>
      <c r="P85" s="82"/>
      <c r="Q85" s="82"/>
      <c r="R85" s="82"/>
      <c r="S85" s="82"/>
      <c r="T85" s="82"/>
      <c r="U85" s="82"/>
      <c r="V85" s="82"/>
      <c r="W85" s="187"/>
      <c r="X85" s="82"/>
      <c r="Y85" s="82"/>
      <c r="Z85" s="82"/>
      <c r="AA85" s="82"/>
      <c r="AB85" s="82"/>
      <c r="AC85" s="82"/>
      <c r="AD85" s="82"/>
      <c r="AE85" s="187"/>
      <c r="AF85" s="188"/>
      <c r="AK85" s="82"/>
    </row>
  </sheetData>
  <sheetProtection algorithmName="SHA-512" hashValue="Axi/sDO5bUjXGPhs5DDwjgc13W6R6ISRsFwscI+3TDphgTWvoskWcIcpGTbz5zjdOSIY/wWjP4VTXK4ZZcAybw==" saltValue="C5/a7JNa0vIpOEcpjqlhDQ==" spinCount="100000" sheet="1" objects="1" scenarios="1"/>
  <mergeCells count="73">
    <mergeCell ref="L80:N80"/>
    <mergeCell ref="L11:L13"/>
    <mergeCell ref="M11:M13"/>
    <mergeCell ref="L14:M17"/>
    <mergeCell ref="N14:N17"/>
    <mergeCell ref="L18:L20"/>
    <mergeCell ref="L27:L29"/>
    <mergeCell ref="M27:M29"/>
    <mergeCell ref="N27:N29"/>
    <mergeCell ref="L30:L32"/>
    <mergeCell ref="M30:M32"/>
    <mergeCell ref="N30:N32"/>
    <mergeCell ref="L33:L35"/>
    <mergeCell ref="M33:M35"/>
    <mergeCell ref="N33:N35"/>
    <mergeCell ref="L36:L38"/>
    <mergeCell ref="L8:M8"/>
    <mergeCell ref="N11:N13"/>
    <mergeCell ref="M18:M20"/>
    <mergeCell ref="N18:N20"/>
    <mergeCell ref="Q79:S79"/>
    <mergeCell ref="M79:N79"/>
    <mergeCell ref="Q78:S78"/>
    <mergeCell ref="Q77:S77"/>
    <mergeCell ref="L77:N77"/>
    <mergeCell ref="M78:N78"/>
    <mergeCell ref="L21:L23"/>
    <mergeCell ref="M21:M23"/>
    <mergeCell ref="N21:N23"/>
    <mergeCell ref="L24:L26"/>
    <mergeCell ref="M24:M26"/>
    <mergeCell ref="N24:N26"/>
    <mergeCell ref="M36:M38"/>
    <mergeCell ref="N36:N38"/>
    <mergeCell ref="L39:L41"/>
    <mergeCell ref="M39:M41"/>
    <mergeCell ref="N39:N41"/>
    <mergeCell ref="L42:L44"/>
    <mergeCell ref="M42:M44"/>
    <mergeCell ref="N42:N44"/>
    <mergeCell ref="L45:L47"/>
    <mergeCell ref="M45:M47"/>
    <mergeCell ref="N45:N47"/>
    <mergeCell ref="L48:L50"/>
    <mergeCell ref="M48:M50"/>
    <mergeCell ref="N48:N50"/>
    <mergeCell ref="L51:L53"/>
    <mergeCell ref="M51:M53"/>
    <mergeCell ref="N51:N53"/>
    <mergeCell ref="L54:L56"/>
    <mergeCell ref="M54:M56"/>
    <mergeCell ref="N54:N56"/>
    <mergeCell ref="L57:L59"/>
    <mergeCell ref="M57:M59"/>
    <mergeCell ref="N57:N59"/>
    <mergeCell ref="L60:L62"/>
    <mergeCell ref="M60:M62"/>
    <mergeCell ref="N60:N62"/>
    <mergeCell ref="L63:L65"/>
    <mergeCell ref="M63:M65"/>
    <mergeCell ref="N63:N65"/>
    <mergeCell ref="L66:L68"/>
    <mergeCell ref="M66:M68"/>
    <mergeCell ref="N66:N68"/>
    <mergeCell ref="L69:L71"/>
    <mergeCell ref="M69:M71"/>
    <mergeCell ref="N69:N71"/>
    <mergeCell ref="Y79:AA79"/>
    <mergeCell ref="L72:L74"/>
    <mergeCell ref="M72:M74"/>
    <mergeCell ref="N72:N74"/>
    <mergeCell ref="Y77:AA77"/>
    <mergeCell ref="Y78:AA78"/>
  </mergeCells>
  <phoneticPr fontId="20" type="noConversion"/>
  <conditionalFormatting sqref="L11:N11 L12:M13 L18:N18">
    <cfRule type="expression" dxfId="92" priority="1046" stopIfTrue="1">
      <formula>$C13=1</formula>
    </cfRule>
  </conditionalFormatting>
  <conditionalFormatting sqref="O11 O18">
    <cfRule type="expression" dxfId="91" priority="1118" stopIfTrue="1">
      <formula>$B13=FALSE</formula>
    </cfRule>
    <cfRule type="expression" dxfId="90" priority="1119" stopIfTrue="1">
      <formula>$C13=1</formula>
    </cfRule>
  </conditionalFormatting>
  <conditionalFormatting sqref="P12:W12">
    <cfRule type="expression" dxfId="89" priority="1108" stopIfTrue="1">
      <formula>AND(ISNUMBER(O13),O13&gt;=$N11)</formula>
    </cfRule>
    <cfRule type="cellIs" dxfId="88" priority="1109" stopIfTrue="1" operator="notBetween">
      <formula>0</formula>
      <formula>1</formula>
    </cfRule>
  </conditionalFormatting>
  <conditionalFormatting sqref="P13:W13">
    <cfRule type="expression" dxfId="87" priority="1110" stopIfTrue="1">
      <formula>AND(ISNUMBER(O13),O13&gt;=$N11)</formula>
    </cfRule>
    <cfRule type="cellIs" dxfId="86" priority="1111" stopIfTrue="1" operator="notBetween">
      <formula>0</formula>
      <formula>$N11</formula>
    </cfRule>
  </conditionalFormatting>
  <conditionalFormatting sqref="P14:W14">
    <cfRule type="expression" dxfId="85" priority="1112" stopIfTrue="1">
      <formula>AND(ISNUMBER(O17),O17&gt;=$N14)</formula>
    </cfRule>
  </conditionalFormatting>
  <conditionalFormatting sqref="P15:W15">
    <cfRule type="expression" dxfId="84" priority="1113" stopIfTrue="1">
      <formula>AND(ISNUMBER(O17),O17&gt;=$N14)</formula>
    </cfRule>
  </conditionalFormatting>
  <conditionalFormatting sqref="P16:W16">
    <cfRule type="expression" dxfId="83" priority="1114" stopIfTrue="1">
      <formula>AND(ISNUMBER(O17),O17&gt;=$N14)</formula>
    </cfRule>
    <cfRule type="cellIs" dxfId="82" priority="1115" stopIfTrue="1" operator="notBetween">
      <formula>0</formula>
      <formula>1</formula>
    </cfRule>
  </conditionalFormatting>
  <conditionalFormatting sqref="P17:W17">
    <cfRule type="expression" dxfId="81" priority="1116" stopIfTrue="1">
      <formula>AND(ISNUMBER(O17),O17&gt;=$N14)</formula>
    </cfRule>
    <cfRule type="cellIs" dxfId="80" priority="1117" stopIfTrue="1" operator="notBetween">
      <formula>0</formula>
      <formula>$N14</formula>
    </cfRule>
  </conditionalFormatting>
  <conditionalFormatting sqref="L8">
    <cfRule type="cellIs" dxfId="79" priority="1103" stopIfTrue="1" operator="notEqual">
      <formula>""</formula>
    </cfRule>
  </conditionalFormatting>
  <conditionalFormatting sqref="N9">
    <cfRule type="expression" dxfId="78" priority="1102" stopIfTrue="1">
      <formula>TipoOrçamento&lt;&gt;"REPROGRAMADOAC"</formula>
    </cfRule>
  </conditionalFormatting>
  <conditionalFormatting sqref="L19:M20">
    <cfRule type="expression" dxfId="77" priority="1937" stopIfTrue="1">
      <formula>#REF!=1</formula>
    </cfRule>
  </conditionalFormatting>
  <conditionalFormatting sqref="P11:W11">
    <cfRule type="expression" dxfId="76" priority="257" stopIfTrue="1">
      <formula>AND(ISNUMBER(O13),O13&gt;=$N11)</formula>
    </cfRule>
    <cfRule type="expression" dxfId="75" priority="258" stopIfTrue="1">
      <formula>$B13=FALSE</formula>
    </cfRule>
    <cfRule type="expression" dxfId="74" priority="259" stopIfTrue="1">
      <formula>$C13=1</formula>
    </cfRule>
  </conditionalFormatting>
  <conditionalFormatting sqref="P19:W19">
    <cfRule type="expression" dxfId="73" priority="208" stopIfTrue="1">
      <formula>AND(ISNUMBER(O20),O20&gt;=$N18)</formula>
    </cfRule>
    <cfRule type="cellIs" dxfId="72" priority="209" stopIfTrue="1" operator="notBetween">
      <formula>0</formula>
      <formula>1</formula>
    </cfRule>
  </conditionalFormatting>
  <conditionalFormatting sqref="P20:W20">
    <cfRule type="expression" dxfId="71" priority="210" stopIfTrue="1">
      <formula>AND(ISNUMBER(O20),O20&gt;=$N18)</formula>
    </cfRule>
    <cfRule type="cellIs" dxfId="70" priority="211" stopIfTrue="1" operator="notBetween">
      <formula>0</formula>
      <formula>$N18</formula>
    </cfRule>
  </conditionalFormatting>
  <conditionalFormatting sqref="O10:W10">
    <cfRule type="expression" dxfId="69" priority="180" stopIfTrue="1">
      <formula>1=1</formula>
    </cfRule>
  </conditionalFormatting>
  <conditionalFormatting sqref="P18:W18">
    <cfRule type="expression" dxfId="68" priority="135" stopIfTrue="1">
      <formula>AND(ISNUMBER(O20),O20&gt;=$N18)</formula>
    </cfRule>
    <cfRule type="expression" dxfId="67" priority="136" stopIfTrue="1">
      <formula>$B20=FALSE</formula>
    </cfRule>
    <cfRule type="expression" dxfId="66" priority="137" stopIfTrue="1">
      <formula>$C20=1</formula>
    </cfRule>
  </conditionalFormatting>
  <conditionalFormatting sqref="AK18">
    <cfRule type="expression" dxfId="65" priority="55" stopIfTrue="1">
      <formula>AND(ISNUMBER(AJ20),AJ20&gt;=$N18)</formula>
    </cfRule>
    <cfRule type="expression" dxfId="64" priority="56" stopIfTrue="1">
      <formula>$B20=FALSE</formula>
    </cfRule>
    <cfRule type="expression" dxfId="63" priority="57" stopIfTrue="1">
      <formula>$C20=1</formula>
    </cfRule>
  </conditionalFormatting>
  <conditionalFormatting sqref="AK12">
    <cfRule type="expression" dxfId="62" priority="70" stopIfTrue="1">
      <formula>AND(ISNUMBER(AJ13),AJ13&gt;=$N11)</formula>
    </cfRule>
    <cfRule type="cellIs" dxfId="61" priority="71" stopIfTrue="1" operator="notBetween">
      <formula>0</formula>
      <formula>1</formula>
    </cfRule>
  </conditionalFormatting>
  <conditionalFormatting sqref="AK13">
    <cfRule type="expression" dxfId="60" priority="72" stopIfTrue="1">
      <formula>AND(ISNUMBER(AJ13),AJ13&gt;=$N11)</formula>
    </cfRule>
    <cfRule type="cellIs" dxfId="59" priority="73" stopIfTrue="1" operator="notBetween">
      <formula>0</formula>
      <formula>$N11</formula>
    </cfRule>
  </conditionalFormatting>
  <conditionalFormatting sqref="AK14">
    <cfRule type="expression" dxfId="58" priority="74" stopIfTrue="1">
      <formula>AND(ISNUMBER(AJ17),AJ17&gt;=$N14)</formula>
    </cfRule>
  </conditionalFormatting>
  <conditionalFormatting sqref="AK15">
    <cfRule type="expression" dxfId="57" priority="75" stopIfTrue="1">
      <formula>AND(ISNUMBER(AJ17),AJ17&gt;=$N14)</formula>
    </cfRule>
  </conditionalFormatting>
  <conditionalFormatting sqref="AK16">
    <cfRule type="expression" dxfId="56" priority="76" stopIfTrue="1">
      <formula>AND(ISNUMBER(AJ17),AJ17&gt;=$N14)</formula>
    </cfRule>
    <cfRule type="cellIs" dxfId="55" priority="77" stopIfTrue="1" operator="notBetween">
      <formula>0</formula>
      <formula>1</formula>
    </cfRule>
  </conditionalFormatting>
  <conditionalFormatting sqref="AK17">
    <cfRule type="expression" dxfId="54" priority="78" stopIfTrue="1">
      <formula>AND(ISNUMBER(AJ17),AJ17&gt;=$N14)</formula>
    </cfRule>
    <cfRule type="cellIs" dxfId="53" priority="79" stopIfTrue="1" operator="notBetween">
      <formula>0</formula>
      <formula>$N14</formula>
    </cfRule>
  </conditionalFormatting>
  <conditionalFormatting sqref="AK11">
    <cfRule type="expression" dxfId="52" priority="67" stopIfTrue="1">
      <formula>AND(ISNUMBER(AJ13),AJ13&gt;=$N11)</formula>
    </cfRule>
    <cfRule type="expression" dxfId="51" priority="68" stopIfTrue="1">
      <formula>$B13=FALSE</formula>
    </cfRule>
    <cfRule type="expression" dxfId="50" priority="69" stopIfTrue="1">
      <formula>$C13=1</formula>
    </cfRule>
  </conditionalFormatting>
  <conditionalFormatting sqref="AK19">
    <cfRule type="expression" dxfId="49" priority="63" stopIfTrue="1">
      <formula>AND(ISNUMBER(AJ20),AJ20&gt;=$N18)</formula>
    </cfRule>
    <cfRule type="cellIs" dxfId="48" priority="64" stopIfTrue="1" operator="notBetween">
      <formula>0</formula>
      <formula>1</formula>
    </cfRule>
  </conditionalFormatting>
  <conditionalFormatting sqref="AK20">
    <cfRule type="expression" dxfId="47" priority="65" stopIfTrue="1">
      <formula>AND(ISNUMBER(AJ20),AJ20&gt;=$N18)</formula>
    </cfRule>
    <cfRule type="cellIs" dxfId="46" priority="66" stopIfTrue="1" operator="notBetween">
      <formula>0</formula>
      <formula>$N18</formula>
    </cfRule>
  </conditionalFormatting>
  <conditionalFormatting sqref="AK10">
    <cfRule type="expression" dxfId="45" priority="58" stopIfTrue="1">
      <formula>1=1</formula>
    </cfRule>
  </conditionalFormatting>
  <conditionalFormatting sqref="L21:N21 L24:N24 L27:N27 L30:N30 L33:N33 L36:N36 L39:N39 L42:N42 L45:N45 L48:N48 L51:N51 L54:N54 L57:N57 L60:N60 L63:N63 L66:N66 L69:N69 L72:N72 L22:M23 L25:M26 L28:M29 L31:M32 L34:M35 L37:M38 L40:M41 L43:M44 L46:M47 L49:M50 L52:M53 L55:M56 L58:M59 L61:M62 L64:M65 L67:M68 L70:M71 L73:M74">
    <cfRule type="expression" dxfId="44" priority="39" stopIfTrue="1">
      <formula>$C23=1</formula>
    </cfRule>
  </conditionalFormatting>
  <conditionalFormatting sqref="O21 O24 O27 O30 O33 O36 O39 O42 O45 O48 O51 O54 O57 O60 O63 O66 O69 O72">
    <cfRule type="expression" dxfId="43" priority="44" stopIfTrue="1">
      <formula>$B23=FALSE</formula>
    </cfRule>
    <cfRule type="expression" dxfId="42" priority="45" stopIfTrue="1">
      <formula>$C23=1</formula>
    </cfRule>
  </conditionalFormatting>
  <conditionalFormatting sqref="P22:W22 P25:W25 P28:W28 P31:W31 P34:W34 P37:W37 P40:W40 P43:W43 P46:W46 P49:W49 P52:W52 P55:W55 P58:W58 P61:W61 P64:W64 P67:W67 P70:W70 P73:W73">
    <cfRule type="expression" dxfId="41" priority="40" stopIfTrue="1">
      <formula>AND(ISNUMBER(O23),O23&gt;=$N21)</formula>
    </cfRule>
    <cfRule type="cellIs" dxfId="40" priority="41" stopIfTrue="1" operator="notBetween">
      <formula>0</formula>
      <formula>1</formula>
    </cfRule>
  </conditionalFormatting>
  <conditionalFormatting sqref="P23:W23 P26:W26 P29:W29 P32:W32 P35:W35 P38:W38 P41:W41 P44:W44 P47:W47 P50:W50 P53:W53 P56:W56 P59:W59 P62:W62 P65:W65 P68:W68 P71:W71 P74:W74">
    <cfRule type="expression" dxfId="39" priority="42" stopIfTrue="1">
      <formula>AND(ISNUMBER(O23),O23&gt;=$N21)</formula>
    </cfRule>
    <cfRule type="cellIs" dxfId="38" priority="43" stopIfTrue="1" operator="notBetween">
      <formula>0</formula>
      <formula>$N21</formula>
    </cfRule>
  </conditionalFormatting>
  <conditionalFormatting sqref="P21:W21 P24:W24 P27:W27 P30:W30 P33:W33 P36:W36 P39:W39 P42:W42 P45:W45 P48:W48 P51:W51 P54:W54 P57:W57 P60:W60 P63:W63 P66:W66 P69:W69 P72:W72">
    <cfRule type="expression" dxfId="37" priority="36" stopIfTrue="1">
      <formula>AND(ISNUMBER(O23),O23&gt;=$N21)</formula>
    </cfRule>
    <cfRule type="expression" dxfId="36" priority="37" stopIfTrue="1">
      <formula>$B23=FALSE</formula>
    </cfRule>
    <cfRule type="expression" dxfId="35" priority="38" stopIfTrue="1">
      <formula>$C23=1</formula>
    </cfRule>
  </conditionalFormatting>
  <conditionalFormatting sqref="AK22 AK25 AK28 AK31 AK34 AK37 AK40 AK43 AK46 AK49 AK52 AK55 AK58 AK61 AK64 AK67 AK70 AK73">
    <cfRule type="expression" dxfId="34" priority="32" stopIfTrue="1">
      <formula>AND(ISNUMBER(AJ23),AJ23&gt;=$N21)</formula>
    </cfRule>
    <cfRule type="cellIs" dxfId="33" priority="33" stopIfTrue="1" operator="notBetween">
      <formula>0</formula>
      <formula>1</formula>
    </cfRule>
  </conditionalFormatting>
  <conditionalFormatting sqref="AK23 AK26 AK29 AK32 AK35 AK38 AK41 AK44 AK47 AK50 AK53 AK56 AK59 AK62 AK65 AK68 AK71 AK74">
    <cfRule type="expression" dxfId="32" priority="34" stopIfTrue="1">
      <formula>AND(ISNUMBER(AJ23),AJ23&gt;=$N21)</formula>
    </cfRule>
    <cfRule type="cellIs" dxfId="31" priority="35" stopIfTrue="1" operator="notBetween">
      <formula>0</formula>
      <formula>$N21</formula>
    </cfRule>
  </conditionalFormatting>
  <conditionalFormatting sqref="AK21 AK24 AK27 AK30 AK33 AK36 AK39 AK42 AK45 AK48 AK51 AK54 AK57 AK60 AK63 AK66 AK69 AK72">
    <cfRule type="expression" dxfId="30" priority="29" stopIfTrue="1">
      <formula>AND(ISNUMBER(AJ23),AJ23&gt;=$N21)</formula>
    </cfRule>
    <cfRule type="expression" dxfId="29" priority="30" stopIfTrue="1">
      <formula>$B23=FALSE</formula>
    </cfRule>
    <cfRule type="expression" dxfId="28" priority="31" stopIfTrue="1">
      <formula>$C23=1</formula>
    </cfRule>
  </conditionalFormatting>
  <conditionalFormatting sqref="X12:AE12">
    <cfRule type="expression" dxfId="27" priority="19" stopIfTrue="1">
      <formula>AND(ISNUMBER(W13),W13&gt;=$N11)</formula>
    </cfRule>
    <cfRule type="cellIs" dxfId="26" priority="20" stopIfTrue="1" operator="notBetween">
      <formula>0</formula>
      <formula>1</formula>
    </cfRule>
  </conditionalFormatting>
  <conditionalFormatting sqref="X13:AE13">
    <cfRule type="expression" dxfId="25" priority="21" stopIfTrue="1">
      <formula>AND(ISNUMBER(W13),W13&gt;=$N11)</formula>
    </cfRule>
    <cfRule type="cellIs" dxfId="24" priority="22" stopIfTrue="1" operator="notBetween">
      <formula>0</formula>
      <formula>$N11</formula>
    </cfRule>
  </conditionalFormatting>
  <conditionalFormatting sqref="X14:AE14">
    <cfRule type="expression" dxfId="23" priority="23" stopIfTrue="1">
      <formula>AND(ISNUMBER(W17),W17&gt;=$N14)</formula>
    </cfRule>
  </conditionalFormatting>
  <conditionalFormatting sqref="X15:AE15">
    <cfRule type="expression" dxfId="22" priority="24" stopIfTrue="1">
      <formula>AND(ISNUMBER(W17),W17&gt;=$N14)</formula>
    </cfRule>
  </conditionalFormatting>
  <conditionalFormatting sqref="X16:AE16">
    <cfRule type="expression" dxfId="21" priority="25" stopIfTrue="1">
      <formula>AND(ISNUMBER(W17),W17&gt;=$N14)</formula>
    </cfRule>
    <cfRule type="cellIs" dxfId="20" priority="26" stopIfTrue="1" operator="notBetween">
      <formula>0</formula>
      <formula>1</formula>
    </cfRule>
  </conditionalFormatting>
  <conditionalFormatting sqref="X17:AE17">
    <cfRule type="expression" dxfId="19" priority="27" stopIfTrue="1">
      <formula>AND(ISNUMBER(W17),W17&gt;=$N14)</formula>
    </cfRule>
    <cfRule type="cellIs" dxfId="18" priority="28" stopIfTrue="1" operator="notBetween">
      <formula>0</formula>
      <formula>$N14</formula>
    </cfRule>
  </conditionalFormatting>
  <conditionalFormatting sqref="X11:AE11">
    <cfRule type="expression" dxfId="17" priority="16" stopIfTrue="1">
      <formula>AND(ISNUMBER(W13),W13&gt;=$N11)</formula>
    </cfRule>
    <cfRule type="expression" dxfId="16" priority="17" stopIfTrue="1">
      <formula>$B13=FALSE</formula>
    </cfRule>
    <cfRule type="expression" dxfId="15" priority="18" stopIfTrue="1">
      <formula>$C13=1</formula>
    </cfRule>
  </conditionalFormatting>
  <conditionalFormatting sqref="X19:AE19">
    <cfRule type="expression" dxfId="14" priority="12" stopIfTrue="1">
      <formula>AND(ISNUMBER(W20),W20&gt;=$N18)</formula>
    </cfRule>
    <cfRule type="cellIs" dxfId="13" priority="13" stopIfTrue="1" operator="notBetween">
      <formula>0</formula>
      <formula>1</formula>
    </cfRule>
  </conditionalFormatting>
  <conditionalFormatting sqref="X20:AE20">
    <cfRule type="expression" dxfId="12" priority="14" stopIfTrue="1">
      <formula>AND(ISNUMBER(W20),W20&gt;=$N18)</formula>
    </cfRule>
    <cfRule type="cellIs" dxfId="11" priority="15" stopIfTrue="1" operator="notBetween">
      <formula>0</formula>
      <formula>$N18</formula>
    </cfRule>
  </conditionalFormatting>
  <conditionalFormatting sqref="X10:AE10">
    <cfRule type="expression" dxfId="10" priority="11" stopIfTrue="1">
      <formula>1=1</formula>
    </cfRule>
  </conditionalFormatting>
  <conditionalFormatting sqref="X18:AE18">
    <cfRule type="expression" dxfId="9" priority="8" stopIfTrue="1">
      <formula>AND(ISNUMBER(W20),W20&gt;=$N18)</formula>
    </cfRule>
    <cfRule type="expression" dxfId="8" priority="9" stopIfTrue="1">
      <formula>$B20=FALSE</formula>
    </cfRule>
    <cfRule type="expression" dxfId="7" priority="10" stopIfTrue="1">
      <formula>$C20=1</formula>
    </cfRule>
  </conditionalFormatting>
  <conditionalFormatting sqref="X22:AE22 X25:AE25 X28:AE28 X31:AE31 X34:AE34 X37:AE37 X40:AE40 X43:AE43 X46:AE46 X49:AE49 X52:AE52 X55:AE55 X58:AE58 X61:AE61 X64:AE64 X67:AE67 X70:AE70 X73:AE73">
    <cfRule type="expression" dxfId="6" priority="4" stopIfTrue="1">
      <formula>AND(ISNUMBER(W23),W23&gt;=$N21)</formula>
    </cfRule>
    <cfRule type="cellIs" dxfId="5" priority="5" stopIfTrue="1" operator="notBetween">
      <formula>0</formula>
      <formula>1</formula>
    </cfRule>
  </conditionalFormatting>
  <conditionalFormatting sqref="X23:AE23 X26:AE26 X29:AE29 X32:AE32 X35:AE35 X38:AE38 X41:AE41 X44:AE44 X47:AE47 X50:AE50 X53:AE53 X56:AE56 X59:AE59 X62:AE62 X65:AE65 X68:AE68 X71:AE71 X74:AE74">
    <cfRule type="expression" dxfId="4" priority="6" stopIfTrue="1">
      <formula>AND(ISNUMBER(W23),W23&gt;=$N21)</formula>
    </cfRule>
    <cfRule type="cellIs" dxfId="3" priority="7" stopIfTrue="1" operator="notBetween">
      <formula>0</formula>
      <formula>$N21</formula>
    </cfRule>
  </conditionalFormatting>
  <conditionalFormatting sqref="X21:AE21 X24:AE24 X27:AE27 X30:AE30 X33:AE33 X36:AE36 X39:AE39 X42:AE42 X45:AE45 X48:AE48 X51:AE51 X54:AE54 X57:AE57 X60:AE60 X63:AE63 X66:AE66 X69:AE69 X72:AE72">
    <cfRule type="expression" dxfId="2" priority="1" stopIfTrue="1">
      <formula>AND(ISNUMBER(W23),W23&gt;=$N21)</formula>
    </cfRule>
    <cfRule type="expression" dxfId="1" priority="2" stopIfTrue="1">
      <formula>$B23=FALSE</formula>
    </cfRule>
    <cfRule type="expression" dxfId="0" priority="3" stopIfTrue="1">
      <formula>$C23=1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xr:uid="{00000000-0002-0000-0400-000000000000}">
      <formula1>0</formula1>
    </dataValidation>
    <dataValidation type="decimal" allowBlank="1" showInputMessage="1" showErrorMessage="1" errorTitle="Erro de Dados" error="Digite valores maiores ou iguais à 0%. O % acumulado não deve ultrapassar 100%." sqref="P18:AE18 P21:AE21 AK11 AK18 P24:AE24 P27:AE27 P30:AE30 P33:AE33 P36:AE36 P39:AE39 P42:AE42 P45:AE45 P48:AE48 P51:AE51 P54:AE54 P57:AE57 P60:AE60 P63:AE63 P66:AE66 P69:AE69 P72:AE72 AK72 AK21 AK24 AK27 AK30 AK33 AK36 AK39 AK42 AK45 AK48 AK51 AK54 AK57 AK60 AK63 AK66 AK69 P11:AE11" xr:uid="{00000000-0002-0000-0400-000001000000}">
      <formula1>0</formula1>
      <formula2>1-SUM($P11:P11)+P11</formula2>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59</vt:i4>
      </vt:variant>
    </vt:vector>
  </HeadingPairs>
  <TitlesOfParts>
    <vt:vector size="64" baseType="lpstr">
      <vt:lpstr>DADOS</vt:lpstr>
      <vt:lpstr>BDI (1)</vt:lpstr>
      <vt:lpstr>PO</vt:lpstr>
      <vt:lpstr>PLQ</vt:lpstr>
      <vt:lpstr>CFF</vt:lpstr>
      <vt:lpstr>PLQ!_FiltrarBancodeDados</vt:lpstr>
      <vt:lpstr>PO!_FiltrarBancodeDados</vt:lpstr>
      <vt:lpstr>'BDI (1)'!Area_de_impressao</vt:lpstr>
      <vt:lpstr>CFF!Area_de_impressao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PPO-USER</dc:creator>
  <cp:lastModifiedBy>PPO-USER</cp:lastModifiedBy>
  <cp:lastPrinted>2022-07-26T17:35:17Z</cp:lastPrinted>
  <dcterms:created xsi:type="dcterms:W3CDTF">1998-03-27T18:43:07Z</dcterms:created>
  <dcterms:modified xsi:type="dcterms:W3CDTF">2022-07-28T16:46:02Z</dcterms:modified>
</cp:coreProperties>
</file>