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EstaPasta_de_trabalho"/>
  <mc:AlternateContent xmlns:mc="http://schemas.openxmlformats.org/markup-compatibility/2006">
    <mc:Choice Requires="x15">
      <x15ac:absPath xmlns:x15ac="http://schemas.microsoft.com/office/spreadsheetml/2010/11/ac" url="D:\Users\PPO-USER\Desktop\Nova pasta (2)\"/>
    </mc:Choice>
  </mc:AlternateContent>
  <xr:revisionPtr revIDLastSave="0" documentId="8_{D7422555-74FA-4E76-8A49-B20F1EDED7F6}" xr6:coauthVersionLast="45" xr6:coauthVersionMax="45" xr10:uidLastSave="{00000000-0000-0000-0000-000000000000}"/>
  <workbookProtection workbookAlgorithmName="SHA-512" workbookHashValue="NPsNKINGD7P+ef89KhZTmGGa1KnwNCfHp6iY8KntLbDdXDwa2jHGctF0f9D69iuaU9rWHJw5W5Cls+M2UGKZOw==" workbookSaltValue="t1OT9OGsVC02wu8lRmGQxg==" workbookSpinCount="100000" lockStructure="1"/>
  <bookViews>
    <workbookView xWindow="-120" yWindow="-120" windowWidth="24240" windowHeight="13140" activeTab="2" xr2:uid="{00000000-000D-0000-FFFF-FFFF00000000}"/>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CFF!$L$1:$X$39</definedName>
    <definedName name="_xlnm.Print_Area" localSheetId="0">DADOS!$A$1:$X$87</definedName>
    <definedName name="_xlnm.Print_Area" localSheetId="3">PLQ!$B$1:$P$35</definedName>
    <definedName name="_xlnm.Print_Area" localSheetId="2">PO!$K$1:$T$44</definedName>
    <definedName name="_xlnm.Database">TEXT(Import.DataBase,"mm-aaaa")</definedName>
    <definedName name="CFF.ColunaPadrão">CFF!$AC:$AC</definedName>
    <definedName name="CFF.Colunas">CFF!$P$10:$X$10</definedName>
    <definedName name="CFF.Dados">OFFSET(CFF!$L$17,1,0):OFFSET(CFF!$X$33,-1,-1)</definedName>
    <definedName name="CFF.IncluirLinha">MAX(PO!$V$12:$V$29)*CFF.NumLinha-ROW(CFF!$F$33)+ROW(CFF!$F$17)+1</definedName>
    <definedName name="CFF.Item">OFFSET(CFF!$L$17,1,0):OFFSET(CFF!$X$33,-1,-1)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OFFSET(PO!$M$12,1,0):OFFSET(PO!$M$29,-1,0)</definedName>
    <definedName name="Import.CR">DADOS!$A$29</definedName>
    <definedName name="Import.CTEF">DADOS!$A$43</definedName>
    <definedName name="Import.CustoUnitário">OFFSET(PO!$Q$12,1,0):OFFSET(PO!$Q$29,-1,0)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OFFSET(PO!$N$12,1,0):OFFSET(PO!$N$29,-1,0)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OFFSET(PO!$L$12,1,0):OFFSET(PO!$L$29,-1,0)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OFFSET(PO!$K$12,1,0):OFFSET(PO!$K$29,-1,0)</definedName>
    <definedName name="Import.Localidade">DADOS!$K$32</definedName>
    <definedName name="Import.LocalSINAPI">DADOS!$D$38</definedName>
    <definedName name="Import.Município">DADOS!$G$32</definedName>
    <definedName name="Import.Nível">OFFSET(PO!$J$12,1,0):OFFSET(PO!$J$29,-1,0)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OFFSET(PLQ!$F$12,1,0):OFFSET(PLQ!$P$29,-1,-1)</definedName>
    <definedName name="Import.POArred">PO!$X$3:$X$7</definedName>
    <definedName name="Import.PreçoTotal">OFFSET(PO!$T$12,1,0):OFFSET(PO!$T$29,-1,0)</definedName>
    <definedName name="Import.PreçoUnitário">OFFSET(PO!$S$12,1,0):OFFSET(PO!$S$29,-1,0)</definedName>
    <definedName name="Import.Programa">DADOS!$F$29</definedName>
    <definedName name="Import.Proponente">DADOS!$A$32</definedName>
    <definedName name="Import.Quantidade">OFFSET(PO!$P$12,1,0):OFFSET(PO!$P$29,-1,0)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OFFSET(PO!$O$12,1,0):OFFSET(PO!$O$29,-1,0)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OFFSET(PO!$Z$12,1,0):OFFSET(PO!$Z$29,-1,0)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PO!$K$30</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PLQ!$B$9:OFFSET(PLQ!$B$29,-1,0)</definedName>
    <definedName name="PLQ.LinhaPadrão">PLQ!$A$11:$P$11</definedName>
    <definedName name="PLQ.qtde.frentes">COUNTA(PLQ!$F$9:$P$9)</definedName>
    <definedName name="PO.BDI">OFFSET(PO!$R$12,1,0):OFFSET(PO!$R$29,-1,0)</definedName>
    <definedName name="PO.CustoRef">OFFSET(PO!$Y$12,1,0):OFFSET(PO!$Y$29,-1,0)</definedName>
    <definedName name="PO.CustoUnitario">ROUND(PO!$Q1,15-13*PO!$X$4)</definedName>
    <definedName name="PO.Dados">PO!$C$12:OFFSET(PO!$Z$29,-1,0)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0" i="13" l="1"/>
  <c r="A20" i="13"/>
  <c r="F19" i="13"/>
  <c r="A19" i="13"/>
  <c r="E19" i="13" s="1"/>
  <c r="W20" i="12"/>
  <c r="V20" i="12"/>
  <c r="A20" i="12"/>
  <c r="H20" i="12" s="1"/>
  <c r="W19" i="12"/>
  <c r="A19" i="12"/>
  <c r="X20" i="12"/>
  <c r="X19" i="12"/>
  <c r="E20" i="13" l="1"/>
  <c r="D19" i="13"/>
  <c r="D20" i="13"/>
  <c r="B19" i="12"/>
  <c r="I20" i="12"/>
  <c r="V19" i="12"/>
  <c r="H19" i="12"/>
  <c r="I19" i="12"/>
  <c r="B20" i="12"/>
  <c r="C20" i="13" l="1"/>
  <c r="C19" i="13"/>
  <c r="F11" i="13" l="1"/>
  <c r="F28" i="13"/>
  <c r="F27" i="13"/>
  <c r="F26" i="13"/>
  <c r="F25" i="13"/>
  <c r="F24" i="13"/>
  <c r="F23" i="13"/>
  <c r="F22" i="13"/>
  <c r="F21" i="13"/>
  <c r="F18" i="13"/>
  <c r="F17" i="13"/>
  <c r="F16" i="13"/>
  <c r="F15" i="13"/>
  <c r="F14" i="13"/>
  <c r="F13" i="13"/>
  <c r="A18" i="13" l="1"/>
  <c r="E18" i="13" s="1"/>
  <c r="A17" i="13"/>
  <c r="E17" i="13" s="1"/>
  <c r="W18" i="12"/>
  <c r="A18" i="12"/>
  <c r="V18" i="12" s="1"/>
  <c r="W17" i="12"/>
  <c r="A17" i="12"/>
  <c r="V17" i="12" s="1"/>
  <c r="B18" i="12" l="1"/>
  <c r="H18" i="12"/>
  <c r="I18" i="12"/>
  <c r="H17" i="12"/>
  <c r="I17" i="12"/>
  <c r="B17" i="12"/>
  <c r="A25" i="13"/>
  <c r="E25" i="13" s="1"/>
  <c r="W25" i="12"/>
  <c r="A25" i="12"/>
  <c r="D25" i="13" l="1"/>
  <c r="C25" i="13" l="1"/>
  <c r="A23" i="13" l="1"/>
  <c r="E23" i="13" s="1"/>
  <c r="W23" i="12"/>
  <c r="A23" i="12"/>
  <c r="A24" i="13"/>
  <c r="E24" i="13" s="1"/>
  <c r="W24" i="12"/>
  <c r="A24" i="12"/>
  <c r="H24" i="12" s="1"/>
  <c r="H23" i="12" l="1"/>
  <c r="I23" i="12"/>
  <c r="V23" i="12"/>
  <c r="B23" i="12"/>
  <c r="I24" i="12"/>
  <c r="V24" i="12"/>
  <c r="B24" i="12"/>
  <c r="A28" i="13" l="1"/>
  <c r="E28" i="13" s="1"/>
  <c r="W28" i="12"/>
  <c r="A28" i="12"/>
  <c r="H28" i="12" l="1"/>
  <c r="I28" i="12"/>
  <c r="V28" i="12"/>
  <c r="B28" i="12"/>
  <c r="A27" i="13" l="1"/>
  <c r="W27" i="12"/>
  <c r="A27" i="12"/>
  <c r="C27" i="13" s="1"/>
  <c r="X27" i="12"/>
  <c r="D27" i="13" l="1"/>
  <c r="E27" i="13"/>
  <c r="A26" i="13" l="1"/>
  <c r="A22" i="13"/>
  <c r="A21" i="13"/>
  <c r="E21" i="13" s="1"/>
  <c r="A16" i="13"/>
  <c r="A15" i="13"/>
  <c r="A14" i="13"/>
  <c r="E14" i="13" s="1"/>
  <c r="W26" i="12"/>
  <c r="A26" i="12"/>
  <c r="W22" i="12"/>
  <c r="A22" i="12"/>
  <c r="I22" i="12" s="1"/>
  <c r="X21" i="12"/>
  <c r="D21" i="13"/>
  <c r="W21" i="12"/>
  <c r="A21" i="12"/>
  <c r="W16" i="12"/>
  <c r="A16" i="12"/>
  <c r="W15" i="12"/>
  <c r="A15" i="12"/>
  <c r="H15" i="12" s="1"/>
  <c r="X14" i="12"/>
  <c r="W14" i="12"/>
  <c r="A14" i="12"/>
  <c r="G14" i="12" s="1"/>
  <c r="E7" i="13"/>
  <c r="P9" i="12"/>
  <c r="F10" i="13"/>
  <c r="G10" i="13" s="1"/>
  <c r="H10" i="13" s="1"/>
  <c r="I10" i="13" s="1"/>
  <c r="J10" i="13" s="1"/>
  <c r="K10" i="13" s="1"/>
  <c r="L10" i="13" s="1"/>
  <c r="M10" i="13" s="1"/>
  <c r="N10" i="13" s="1"/>
  <c r="O10" i="13" s="1"/>
  <c r="U10" i="13"/>
  <c r="AC9" i="11"/>
  <c r="AC10" i="11" s="1"/>
  <c r="K37" i="12"/>
  <c r="X13" i="12"/>
  <c r="W13" i="12"/>
  <c r="N24" i="17"/>
  <c r="N26" i="17" s="1"/>
  <c r="Q224" i="16"/>
  <c r="Q223" i="16"/>
  <c r="P2" i="11"/>
  <c r="A20" i="11"/>
  <c r="A23" i="11" s="1"/>
  <c r="Q10" i="12"/>
  <c r="Q11" i="17"/>
  <c r="M33" i="17" s="1"/>
  <c r="N8" i="11"/>
  <c r="O9" i="11"/>
  <c r="P9" i="11" s="1"/>
  <c r="O10" i="11"/>
  <c r="A13" i="11"/>
  <c r="K13" i="11" s="1"/>
  <c r="N11" i="11" s="1"/>
  <c r="D17" i="11"/>
  <c r="L35" i="11"/>
  <c r="K43" i="12"/>
  <c r="L38" i="11" s="1"/>
  <c r="A11" i="13"/>
  <c r="X11" i="12"/>
  <c r="O11" i="12" s="1"/>
  <c r="D11" i="13" s="1"/>
  <c r="J12" i="12"/>
  <c r="A12" i="13" s="1"/>
  <c r="N12" i="12"/>
  <c r="U12" i="12" s="1"/>
  <c r="A13" i="13"/>
  <c r="E13" i="13" s="1"/>
  <c r="K40" i="12"/>
  <c r="B31" i="13" s="1"/>
  <c r="N2" i="12"/>
  <c r="Y10" i="12"/>
  <c r="Z10" i="12"/>
  <c r="A11" i="12"/>
  <c r="G11" i="12" s="1"/>
  <c r="W11" i="12"/>
  <c r="A13" i="12"/>
  <c r="C13" i="12" s="1"/>
  <c r="N1" i="17"/>
  <c r="C2" i="17"/>
  <c r="A3" i="17"/>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A29" i="17"/>
  <c r="A32" i="17" s="1"/>
  <c r="I29" i="17"/>
  <c r="M32" i="17"/>
  <c r="I35" i="17"/>
  <c r="C38" i="17"/>
  <c r="A39" i="17"/>
  <c r="C39" i="17" s="1"/>
  <c r="C44" i="17"/>
  <c r="A45" i="17"/>
  <c r="A46" i="17" s="1"/>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23" i="17"/>
  <c r="A24" i="17" s="1"/>
  <c r="C3" i="17"/>
  <c r="A4" i="17"/>
  <c r="C4" i="17" s="1"/>
  <c r="D13" i="13"/>
  <c r="D14" i="13"/>
  <c r="C14" i="13"/>
  <c r="U38" i="16"/>
  <c r="V38" i="16"/>
  <c r="W38" i="16"/>
  <c r="X38" i="16"/>
  <c r="C24" i="17" l="1"/>
  <c r="A25" i="17"/>
  <c r="C25" i="17" s="1"/>
  <c r="G57" i="16"/>
  <c r="C23" i="17"/>
  <c r="A26" i="11"/>
  <c r="V22" i="12"/>
  <c r="S13" i="12"/>
  <c r="F13" i="12"/>
  <c r="H11" i="12"/>
  <c r="F14" i="12"/>
  <c r="F15" i="12" s="1"/>
  <c r="F16" i="12" s="1"/>
  <c r="F17" i="12" s="1"/>
  <c r="F18" i="12" s="1"/>
  <c r="F19" i="12" s="1"/>
  <c r="F20" i="12" s="1"/>
  <c r="I42" i="17"/>
  <c r="C14" i="12"/>
  <c r="C15" i="12" s="1"/>
  <c r="C16" i="12" s="1"/>
  <c r="E11" i="12"/>
  <c r="I11" i="12"/>
  <c r="V11" i="12"/>
  <c r="F11" i="12"/>
  <c r="B11" i="12"/>
  <c r="H22" i="12"/>
  <c r="V15" i="12"/>
  <c r="C11" i="12"/>
  <c r="A40" i="17"/>
  <c r="C40" i="17" s="1"/>
  <c r="B22" i="12"/>
  <c r="D11" i="12"/>
  <c r="A5" i="17"/>
  <c r="C5" i="17" s="1"/>
  <c r="C45" i="17"/>
  <c r="E16" i="13"/>
  <c r="E15" i="13"/>
  <c r="E11" i="13"/>
  <c r="O42" i="17"/>
  <c r="B34" i="13"/>
  <c r="E22" i="13"/>
  <c r="M11" i="11"/>
  <c r="E26" i="13"/>
  <c r="I15" i="12"/>
  <c r="N25" i="17"/>
  <c r="D13" i="12"/>
  <c r="D14" i="12" s="1"/>
  <c r="I37" i="17"/>
  <c r="V13" i="12"/>
  <c r="E13" i="12"/>
  <c r="E14" i="12" s="1"/>
  <c r="E15" i="12" s="1"/>
  <c r="E16" i="12" s="1"/>
  <c r="E17" i="12" s="1"/>
  <c r="E18" i="12" s="1"/>
  <c r="E19" i="12" s="1"/>
  <c r="E20" i="12" s="1"/>
  <c r="L32" i="17"/>
  <c r="G15" i="12"/>
  <c r="G16" i="12" s="1"/>
  <c r="G17" i="12" s="1"/>
  <c r="G18" i="12" s="1"/>
  <c r="G19" i="12" s="1"/>
  <c r="G20" i="12" s="1"/>
  <c r="G13" i="12"/>
  <c r="B15" i="12"/>
  <c r="N11" i="12"/>
  <c r="C13" i="11"/>
  <c r="E13" i="11" s="1"/>
  <c r="L11" i="11"/>
  <c r="E21" i="12"/>
  <c r="Y11" i="12"/>
  <c r="W227" i="16"/>
  <c r="S111" i="16"/>
  <c r="U227" i="16"/>
  <c r="S109" i="16"/>
  <c r="X227" i="16"/>
  <c r="S112" i="16"/>
  <c r="S110" i="16"/>
  <c r="V227" i="16"/>
  <c r="C46" i="17"/>
  <c r="A47" i="17"/>
  <c r="Q9" i="11"/>
  <c r="R9" i="11" s="1"/>
  <c r="S9" i="11" s="1"/>
  <c r="T9" i="11" s="1"/>
  <c r="U9" i="11" s="1"/>
  <c r="V9" i="11" s="1"/>
  <c r="W9" i="11" s="1"/>
  <c r="P10" i="11"/>
  <c r="C13" i="13"/>
  <c r="A33" i="17"/>
  <c r="C32" i="17"/>
  <c r="A6" i="17"/>
  <c r="V26" i="12"/>
  <c r="C12" i="13"/>
  <c r="S21" i="12"/>
  <c r="I26" i="12"/>
  <c r="A5" i="12"/>
  <c r="B26" i="12"/>
  <c r="A17" i="17"/>
  <c r="H26" i="12"/>
  <c r="F21" i="12"/>
  <c r="G21" i="12"/>
  <c r="A26" i="17"/>
  <c r="C26" i="17" s="1"/>
  <c r="C29" i="17"/>
  <c r="G56" i="16"/>
  <c r="A41" i="17"/>
  <c r="C17" i="12" l="1"/>
  <c r="A29" i="11"/>
  <c r="G22" i="12"/>
  <c r="G23" i="12" s="1"/>
  <c r="E22" i="12"/>
  <c r="E23" i="12" s="1"/>
  <c r="F22" i="12"/>
  <c r="F23" i="12" s="1"/>
  <c r="C20" i="11"/>
  <c r="H20" i="11" s="1"/>
  <c r="V14" i="12"/>
  <c r="R10" i="11"/>
  <c r="T10" i="11" s="1"/>
  <c r="V10" i="11" s="1"/>
  <c r="D15" i="12"/>
  <c r="K15" i="12" s="1"/>
  <c r="B15" i="13" s="1"/>
  <c r="O25" i="17"/>
  <c r="N27" i="17"/>
  <c r="M18" i="11"/>
  <c r="B13" i="11"/>
  <c r="F13" i="11"/>
  <c r="G13" i="11"/>
  <c r="I13" i="11"/>
  <c r="H13" i="11"/>
  <c r="J13" i="11"/>
  <c r="U11" i="12"/>
  <c r="C11" i="13"/>
  <c r="K11" i="12"/>
  <c r="B11" i="13" s="1"/>
  <c r="K13" i="12"/>
  <c r="C21" i="13"/>
  <c r="A48" i="17"/>
  <c r="C47" i="17"/>
  <c r="C17" i="17"/>
  <c r="A18" i="17"/>
  <c r="A7" i="17"/>
  <c r="C7" i="17" s="1"/>
  <c r="C6" i="17"/>
  <c r="Q10" i="11"/>
  <c r="S10" i="11" s="1"/>
  <c r="U10" i="11" s="1"/>
  <c r="W10" i="11" s="1"/>
  <c r="K14" i="12"/>
  <c r="B14" i="13" s="1"/>
  <c r="C41" i="17"/>
  <c r="A42" i="17"/>
  <c r="A34" i="17"/>
  <c r="C34" i="17" s="1"/>
  <c r="C33" i="17"/>
  <c r="T38" i="16"/>
  <c r="Z20" i="12" l="1"/>
  <c r="S20" i="12" s="1"/>
  <c r="T20" i="12" s="1"/>
  <c r="U20" i="12" s="1"/>
  <c r="Z19" i="12"/>
  <c r="S19" i="12" s="1"/>
  <c r="T19" i="12" s="1"/>
  <c r="U19" i="12" s="1"/>
  <c r="V16" i="12"/>
  <c r="V21" i="12" s="1"/>
  <c r="Z17" i="12"/>
  <c r="S17" i="12" s="1"/>
  <c r="T17" i="12" s="1"/>
  <c r="Z18" i="12"/>
  <c r="S18" i="12" s="1"/>
  <c r="T18" i="12" s="1"/>
  <c r="C18" i="12"/>
  <c r="C19" i="12" s="1"/>
  <c r="Z25" i="12"/>
  <c r="A32" i="11"/>
  <c r="C23" i="11"/>
  <c r="M21" i="11"/>
  <c r="L21" i="11"/>
  <c r="Z23" i="12"/>
  <c r="Z24" i="12"/>
  <c r="Z28" i="12"/>
  <c r="F20" i="11"/>
  <c r="E20" i="11"/>
  <c r="G20" i="11"/>
  <c r="Z27" i="12"/>
  <c r="S27" i="12" s="1"/>
  <c r="P18" i="17"/>
  <c r="R20" i="17"/>
  <c r="Q21" i="17"/>
  <c r="Q20" i="17"/>
  <c r="P21" i="17"/>
  <c r="P19" i="17"/>
  <c r="R18" i="17"/>
  <c r="R21" i="17"/>
  <c r="P20" i="17"/>
  <c r="R19" i="17"/>
  <c r="Q19" i="17"/>
  <c r="Q18" i="17"/>
  <c r="D13" i="11"/>
  <c r="Z15" i="12"/>
  <c r="Z26" i="12"/>
  <c r="S108" i="16"/>
  <c r="Z16" i="12"/>
  <c r="Z21" i="12"/>
  <c r="Z14" i="12"/>
  <c r="S14" i="12" s="1"/>
  <c r="Z13" i="12"/>
  <c r="Z22" i="12"/>
  <c r="Z11" i="12"/>
  <c r="S11" i="12" s="1"/>
  <c r="T11" i="12" s="1"/>
  <c r="T227" i="16"/>
  <c r="D16" i="12"/>
  <c r="R11" i="11"/>
  <c r="Q12" i="11"/>
  <c r="V12" i="11"/>
  <c r="S11" i="11"/>
  <c r="P13" i="11"/>
  <c r="R12" i="11"/>
  <c r="AC12" i="11"/>
  <c r="U13" i="11"/>
  <c r="AC11" i="11"/>
  <c r="S12" i="11"/>
  <c r="W11" i="11"/>
  <c r="Q11" i="11"/>
  <c r="P11" i="11"/>
  <c r="U11" i="11"/>
  <c r="T12" i="11"/>
  <c r="W13" i="11"/>
  <c r="T11" i="11"/>
  <c r="T13" i="11"/>
  <c r="P12" i="11"/>
  <c r="V13" i="11"/>
  <c r="W12" i="11"/>
  <c r="V11" i="11"/>
  <c r="U12" i="11"/>
  <c r="R13" i="11"/>
  <c r="AC13" i="11"/>
  <c r="S13" i="11"/>
  <c r="Q13" i="11"/>
  <c r="R26" i="17"/>
  <c r="Q22" i="17"/>
  <c r="P26" i="17"/>
  <c r="Q26" i="17"/>
  <c r="P22" i="17"/>
  <c r="R22" i="17"/>
  <c r="C18" i="17"/>
  <c r="A19" i="17"/>
  <c r="L18" i="11"/>
  <c r="B13" i="13"/>
  <c r="C42" i="17"/>
  <c r="A43" i="17"/>
  <c r="C43" i="17" s="1"/>
  <c r="A49" i="17"/>
  <c r="C49" i="17" s="1"/>
  <c r="C48" i="17"/>
  <c r="C26" i="11" l="1"/>
  <c r="H26" i="11" s="1"/>
  <c r="V25" i="12"/>
  <c r="V27" i="12" s="1"/>
  <c r="C20" i="12"/>
  <c r="C21" i="12" s="1"/>
  <c r="C22" i="12" s="1"/>
  <c r="C23" i="12" s="1"/>
  <c r="D17" i="12"/>
  <c r="K17" i="12" s="1"/>
  <c r="B17" i="13" s="1"/>
  <c r="M27" i="11"/>
  <c r="F23" i="11"/>
  <c r="G23" i="11"/>
  <c r="E23" i="11"/>
  <c r="H23" i="11"/>
  <c r="B20" i="11"/>
  <c r="C29" i="11"/>
  <c r="O26" i="17"/>
  <c r="V27" i="17" s="1"/>
  <c r="T16" i="17" s="1"/>
  <c r="E24" i="12"/>
  <c r="E25" i="12" s="1"/>
  <c r="F24" i="12"/>
  <c r="F25" i="12" s="1"/>
  <c r="G24" i="12"/>
  <c r="G25" i="12" s="1"/>
  <c r="K16" i="12"/>
  <c r="B16" i="13" s="1"/>
  <c r="A20" i="17"/>
  <c r="C20" i="17" s="1"/>
  <c r="C19" i="17"/>
  <c r="G26" i="11" l="1"/>
  <c r="E26" i="11"/>
  <c r="E29" i="11" s="1"/>
  <c r="B23" i="11"/>
  <c r="R21" i="11" s="1"/>
  <c r="M30" i="11"/>
  <c r="C32" i="11"/>
  <c r="G32" i="11" s="1"/>
  <c r="D18" i="12"/>
  <c r="D19" i="12" s="1"/>
  <c r="O27" i="17"/>
  <c r="F26" i="11"/>
  <c r="J23" i="11" s="1"/>
  <c r="H29" i="11"/>
  <c r="G29" i="11"/>
  <c r="B26" i="11"/>
  <c r="G26" i="12"/>
  <c r="G27" i="12" s="1"/>
  <c r="G28" i="12" s="1"/>
  <c r="F26" i="12"/>
  <c r="F27" i="12" s="1"/>
  <c r="F28" i="12" s="1"/>
  <c r="E26" i="12"/>
  <c r="E27" i="12" s="1"/>
  <c r="E28" i="12" s="1"/>
  <c r="C24" i="12"/>
  <c r="C25" i="12" s="1"/>
  <c r="I14" i="12"/>
  <c r="B29" i="11" l="1"/>
  <c r="T27" i="11" s="1"/>
  <c r="E32" i="11"/>
  <c r="S21" i="11"/>
  <c r="U21" i="11"/>
  <c r="P22" i="11"/>
  <c r="T21" i="11"/>
  <c r="W21" i="11"/>
  <c r="Q21" i="11"/>
  <c r="V21" i="11"/>
  <c r="AC21" i="11"/>
  <c r="AC22" i="11" s="1"/>
  <c r="H32" i="11"/>
  <c r="B32" i="11"/>
  <c r="S30" i="11" s="1"/>
  <c r="D20" i="12"/>
  <c r="K20" i="12" s="1"/>
  <c r="B20" i="13" s="1"/>
  <c r="K19" i="12"/>
  <c r="B19" i="13" s="1"/>
  <c r="K18" i="12"/>
  <c r="B18" i="13" s="1"/>
  <c r="F29" i="11"/>
  <c r="F32" i="11" s="1"/>
  <c r="V27" i="11"/>
  <c r="AC27" i="11"/>
  <c r="AC28" i="11" s="1"/>
  <c r="V24" i="11"/>
  <c r="R24" i="11"/>
  <c r="U24" i="11"/>
  <c r="W24" i="11"/>
  <c r="S24" i="11"/>
  <c r="T24" i="11"/>
  <c r="P25" i="11"/>
  <c r="AC24" i="11"/>
  <c r="AC25" i="11" s="1"/>
  <c r="L24" i="11"/>
  <c r="C26" i="12"/>
  <c r="U27" i="11" l="1"/>
  <c r="P28" i="11"/>
  <c r="Q28" i="11" s="1"/>
  <c r="R28" i="11" s="1"/>
  <c r="S28" i="11" s="1"/>
  <c r="T28" i="11" s="1"/>
  <c r="U28" i="11" s="1"/>
  <c r="S27" i="11"/>
  <c r="W27" i="11"/>
  <c r="Q22" i="11"/>
  <c r="R22" i="11" s="1"/>
  <c r="S22" i="11" s="1"/>
  <c r="T22" i="11" s="1"/>
  <c r="P31" i="11"/>
  <c r="Q31" i="11" s="1"/>
  <c r="R31" i="11" s="1"/>
  <c r="S31" i="11" s="1"/>
  <c r="T30" i="11"/>
  <c r="AC30" i="11"/>
  <c r="AC31" i="11" s="1"/>
  <c r="U30" i="11"/>
  <c r="V30" i="11"/>
  <c r="W30" i="11"/>
  <c r="D21" i="12"/>
  <c r="K21" i="12" s="1"/>
  <c r="B21" i="13" s="1"/>
  <c r="J26" i="11"/>
  <c r="J29" i="11"/>
  <c r="Q25" i="11"/>
  <c r="R25" i="11" s="1"/>
  <c r="I16" i="12" l="1"/>
  <c r="D22" i="12"/>
  <c r="C27" i="12"/>
  <c r="C28" i="12" s="1"/>
  <c r="U22" i="11"/>
  <c r="S25" i="11"/>
  <c r="V28" i="11"/>
  <c r="I20" i="11"/>
  <c r="T31" i="11"/>
  <c r="I23" i="11" l="1"/>
  <c r="D23" i="11" s="1"/>
  <c r="J32" i="11"/>
  <c r="D23" i="12"/>
  <c r="K22" i="12"/>
  <c r="B22" i="13" s="1"/>
  <c r="U31" i="11"/>
  <c r="I32" i="11"/>
  <c r="I29" i="11"/>
  <c r="D29" i="11" s="1"/>
  <c r="W28" i="11"/>
  <c r="I26" i="11"/>
  <c r="D26" i="11" s="1"/>
  <c r="T25" i="11"/>
  <c r="V22" i="11"/>
  <c r="J20" i="11"/>
  <c r="D20" i="11" s="1"/>
  <c r="D32" i="11" l="1"/>
  <c r="K23" i="12"/>
  <c r="B23" i="13" s="1"/>
  <c r="D24" i="12"/>
  <c r="U25" i="11"/>
  <c r="W22" i="11"/>
  <c r="V31" i="11"/>
  <c r="K24" i="12" l="1"/>
  <c r="B24" i="13" s="1"/>
  <c r="D25" i="12"/>
  <c r="V25" i="11"/>
  <c r="W31" i="11"/>
  <c r="D26" i="12" l="1"/>
  <c r="K25" i="12"/>
  <c r="B25" i="13" s="1"/>
  <c r="L27" i="11"/>
  <c r="W25" i="11"/>
  <c r="K26" i="12" l="1"/>
  <c r="B26" i="13" s="1"/>
  <c r="D27" i="12"/>
  <c r="D28" i="12" l="1"/>
  <c r="K28" i="12" s="1"/>
  <c r="B28" i="13" s="1"/>
  <c r="K27" i="12"/>
  <c r="B27" i="13" s="1"/>
  <c r="I13" i="12" l="1"/>
  <c r="H13" i="12"/>
  <c r="B13" i="12" l="1"/>
  <c r="I21" i="12" l="1"/>
  <c r="I27" i="12" l="1"/>
  <c r="L30" i="11" l="1"/>
  <c r="H25" i="12" l="1"/>
  <c r="I25" i="12"/>
  <c r="H16" i="12"/>
  <c r="B16" i="12" s="1"/>
  <c r="H27" i="12"/>
  <c r="B27" i="12" s="1"/>
  <c r="H21" i="12"/>
  <c r="B21" i="12" s="1"/>
  <c r="H14" i="12"/>
  <c r="B14" i="12" s="1"/>
  <c r="B25" i="12" l="1"/>
  <c r="B12" i="12" s="1"/>
  <c r="S26" i="12" l="1"/>
  <c r="T26" i="12" s="1"/>
  <c r="S23" i="12"/>
  <c r="T23" i="12" s="1"/>
  <c r="S22" i="12"/>
  <c r="T22" i="12" s="1"/>
  <c r="S25" i="12" l="1"/>
  <c r="S24" i="12"/>
  <c r="T24" i="12" s="1"/>
  <c r="D24" i="13"/>
  <c r="C24" i="13"/>
  <c r="T21" i="12" l="1"/>
  <c r="U21" i="12" l="1"/>
  <c r="S28" i="12" l="1"/>
  <c r="T28" i="12" s="1"/>
  <c r="S15" i="12"/>
  <c r="T15" i="12" s="1"/>
  <c r="T27" i="12" l="1"/>
  <c r="T25" i="12" s="1"/>
  <c r="K32" i="11" l="1"/>
  <c r="N30" i="11" s="1"/>
  <c r="V32" i="11" s="1"/>
  <c r="U27" i="12"/>
  <c r="K29" i="11"/>
  <c r="N27" i="11" s="1"/>
  <c r="R32" i="11" l="1"/>
  <c r="T32" i="11"/>
  <c r="Q32" i="11"/>
  <c r="S32" i="11"/>
  <c r="AC32" i="11"/>
  <c r="P32" i="11"/>
  <c r="U32" i="11"/>
  <c r="W32" i="11"/>
  <c r="P29" i="11"/>
  <c r="R29" i="11"/>
  <c r="V29" i="11"/>
  <c r="W29" i="11"/>
  <c r="S29" i="11"/>
  <c r="Q29" i="11"/>
  <c r="AC29" i="11"/>
  <c r="U29" i="11"/>
  <c r="T29" i="11"/>
  <c r="S16" i="12" l="1"/>
  <c r="T16" i="12" s="1"/>
  <c r="K26" i="11" s="1"/>
  <c r="N24" i="11" s="1"/>
  <c r="Q26" i="11" l="1"/>
  <c r="P26" i="11"/>
  <c r="T26" i="11"/>
  <c r="R26" i="11"/>
  <c r="AC26" i="11"/>
  <c r="S26" i="11"/>
  <c r="V26" i="11"/>
  <c r="U26" i="11"/>
  <c r="W26" i="11"/>
  <c r="T14" i="12"/>
  <c r="T13" i="12"/>
  <c r="T12" i="12"/>
  <c r="N14" i="11" s="1"/>
  <c r="K20" i="11" l="1"/>
  <c r="N18" i="11" s="1"/>
  <c r="U13" i="12"/>
  <c r="U14" i="12"/>
  <c r="K23" i="11"/>
  <c r="N21" i="11" s="1"/>
  <c r="AC23" i="11" l="1"/>
  <c r="AC20" i="11" s="1"/>
  <c r="W23" i="11"/>
  <c r="W20" i="11" s="1"/>
  <c r="R23" i="11"/>
  <c r="R20" i="11" s="1"/>
  <c r="U23" i="11"/>
  <c r="U20" i="11" s="1"/>
  <c r="P23" i="11"/>
  <c r="P20" i="11" s="1"/>
  <c r="Q23" i="11"/>
  <c r="Q20" i="11" s="1"/>
  <c r="S23" i="11"/>
  <c r="S20" i="11" s="1"/>
  <c r="V23" i="11"/>
  <c r="V20" i="11" s="1"/>
  <c r="T23" i="11"/>
  <c r="T20" i="11" s="1"/>
  <c r="T19" i="11" l="1"/>
  <c r="T17" i="11"/>
  <c r="R19" i="11"/>
  <c r="R17" i="11"/>
  <c r="R16" i="11" s="1"/>
  <c r="V19" i="11"/>
  <c r="V17" i="11"/>
  <c r="S19" i="11"/>
  <c r="S17" i="11"/>
  <c r="Q19" i="11"/>
  <c r="Q17" i="11"/>
  <c r="P19" i="11"/>
  <c r="P18" i="11" s="1"/>
  <c r="P17" i="11"/>
  <c r="U17" i="11"/>
  <c r="U16" i="11" s="1"/>
  <c r="U19" i="11"/>
  <c r="W19" i="11"/>
  <c r="W17" i="11"/>
  <c r="AC17" i="11"/>
  <c r="AC19" i="11"/>
  <c r="AC18" i="11" s="1"/>
  <c r="S18" i="11" l="1"/>
  <c r="W18" i="11"/>
  <c r="R15" i="11"/>
  <c r="R14" i="11" s="1"/>
  <c r="Q15" i="11"/>
  <c r="Q14" i="11" s="1"/>
  <c r="Q16" i="11"/>
  <c r="S15" i="11"/>
  <c r="S14" i="11" s="1"/>
  <c r="S16" i="11"/>
  <c r="Q18" i="11"/>
  <c r="V16" i="11"/>
  <c r="V15" i="11"/>
  <c r="V14" i="11" s="1"/>
  <c r="AC16" i="11"/>
  <c r="AC15" i="11"/>
  <c r="AC14" i="11" s="1"/>
  <c r="P15" i="11"/>
  <c r="P14" i="11" s="1"/>
  <c r="P16" i="11"/>
  <c r="R18" i="11"/>
  <c r="V18" i="11"/>
  <c r="U18" i="11"/>
  <c r="U15" i="11"/>
  <c r="U14" i="11" s="1"/>
  <c r="T15" i="11"/>
  <c r="T14" i="11" s="1"/>
  <c r="T16" i="11"/>
  <c r="L8" i="11" s="1"/>
  <c r="W16" i="11"/>
  <c r="W15" i="11"/>
  <c r="W14" i="11" s="1"/>
  <c r="T18" i="11"/>
  <c r="X15" i="12"/>
  <c r="X28" i="12"/>
  <c r="X17" i="12"/>
  <c r="X24" i="12"/>
  <c r="X23" i="12"/>
  <c r="X25" i="12"/>
  <c r="X26" i="12"/>
  <c r="X18" i="12"/>
  <c r="X22" i="12"/>
  <c r="X16" i="12"/>
  <c r="D23" i="13" l="1"/>
  <c r="D22" i="13"/>
  <c r="D18" i="13"/>
  <c r="D26" i="13"/>
  <c r="U25" i="12"/>
  <c r="U24" i="12"/>
  <c r="D17" i="13"/>
  <c r="D28" i="13"/>
  <c r="D15" i="13"/>
  <c r="D16" i="13"/>
  <c r="M24" i="11"/>
  <c r="U26" i="12" l="1"/>
  <c r="C26" i="13"/>
  <c r="C22" i="13"/>
  <c r="U22" i="12"/>
  <c r="C16" i="13"/>
  <c r="U16" i="12"/>
  <c r="U17" i="12"/>
  <c r="C17" i="13"/>
  <c r="C23" i="13"/>
  <c r="U23" i="12"/>
  <c r="C28" i="13"/>
  <c r="U28" i="12"/>
  <c r="C15" i="13"/>
  <c r="U15" i="12"/>
  <c r="C18" i="13"/>
  <c r="U18" i="12"/>
  <c r="U5" i="12" l="1"/>
</calcChain>
</file>

<file path=xl/sharedStrings.xml><?xml version="1.0" encoding="utf-8"?>
<sst xmlns="http://schemas.openxmlformats.org/spreadsheetml/2006/main" count="460" uniqueCount="278">
  <si>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</si>
  <si>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</si>
  <si>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</si>
  <si>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</si>
  <si>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</si>
  <si>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</si>
  <si>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</si>
  <si>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</si>
  <si>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</si>
  <si>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</si>
  <si>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</si>
  <si>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</si>
  <si>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</si>
  <si>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</si>
  <si>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</si>
  <si>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</si>
  <si>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</si>
  <si>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</si>
  <si>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</si>
  <si>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</si>
  <si>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</si>
  <si>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</si>
  <si>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</si>
  <si>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</si>
  <si>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</si>
  <si>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</si>
  <si>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</si>
  <si>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</si>
  <si>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</si>
  <si>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</si>
  <si>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</si>
  <si>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</si>
  <si>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</si>
  <si>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</si>
  <si>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</si>
  <si>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</si>
  <si>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</si>
  <si>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</si>
  <si>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</si>
  <si>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</si>
  <si>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</si>
  <si>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</si>
  <si>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</si>
  <si>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</si>
  <si>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</si>
  <si>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</si>
  <si>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</si>
  <si>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</si>
  <si>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</si>
  <si>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</si>
  <si>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</si>
  <si>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</si>
  <si>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</si>
  <si>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</si>
  <si>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</si>
  <si>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</si>
  <si>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</si>
  <si>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</si>
  <si>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</si>
  <si>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</si>
  <si>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</si>
  <si>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</si>
  <si>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</si>
  <si>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</si>
  <si>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</si>
  <si>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</si>
  <si>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</si>
  <si>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</si>
  <si>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</si>
  <si>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</si>
  <si>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</si>
  <si>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</si>
  <si>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</si>
  <si>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</si>
  <si>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</si>
  <si>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</si>
  <si>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</si>
  <si>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</si>
  <si>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</si>
  <si>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</si>
  <si>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</si>
  <si>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</si>
  <si>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</si>
  <si>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</si>
  <si>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</si>
  <si>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</si>
  <si>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</si>
  <si>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</si>
  <si>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</si>
  <si>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</si>
  <si>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</si>
  <si>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</si>
  <si>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</si>
  <si>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</si>
  <si>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</si>
  <si>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</si>
  <si>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</si>
  <si>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</si>
  <si>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</si>
  <si>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</si>
  <si>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</si>
  <si>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</si>
  <si>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</si>
  <si>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</si>
  <si>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SIM</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</si>
  <si>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</si>
  <si>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</si>
  <si>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</si>
  <si>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</si>
  <si>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</si>
  <si>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</si>
  <si>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</si>
  <si>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</si>
  <si>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</si>
  <si>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</si>
  <si>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</si>
  <si>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</si>
  <si>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</si>
  <si>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</si>
  <si>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</si>
  <si>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</si>
  <si>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</si>
  <si>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</si>
  <si>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</si>
  <si>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</si>
  <si>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</si>
  <si>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</si>
  <si>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</si>
  <si>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</si>
  <si>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</si>
  <si>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</si>
  <si>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</si>
  <si>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</si>
  <si>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</si>
  <si>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</si>
  <si>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</si>
  <si>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</si>
  <si>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</si>
  <si>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</si>
  <si>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</si>
  <si>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</si>
  <si>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</si>
  <si>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</si>
  <si>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</si>
  <si>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</si>
  <si>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</si>
  <si>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</si>
  <si>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</si>
  <si>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</si>
  <si>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</si>
  <si>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</si>
  <si>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</si>
  <si>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</si>
  <si>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</si>
  <si>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</si>
  <si>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</si>
  <si>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</si>
  <si>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</si>
  <si>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</si>
  <si>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</si>
  <si>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</si>
  <si>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</si>
  <si>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</si>
  <si>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</si>
  <si>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</si>
  <si>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</si>
  <si>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</si>
  <si>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</si>
  <si>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</si>
  <si>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</si>
  <si>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</si>
  <si>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</si>
  <si>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</si>
  <si>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</si>
  <si>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</si>
  <si>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</si>
  <si>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</si>
  <si>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</si>
  <si>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</si>
  <si>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</si>
  <si>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</si>
  <si>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</si>
  <si>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</si>
  <si>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</si>
  <si>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</si>
  <si>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</si>
  <si>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</si>
  <si>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</si>
  <si>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</si>
  <si>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</si>
  <si>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</si>
  <si>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</si>
  <si>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</si>
  <si>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</si>
  <si>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</si>
  <si>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</si>
  <si>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</si>
  <si>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</si>
  <si>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</si>
  <si>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</si>
  <si>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</si>
  <si>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</si>
  <si>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</si>
  <si>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</si>
  <si>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</si>
  <si>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</si>
  <si>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</si>
  <si>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</si>
  <si>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</si>
  <si>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</si>
  <si>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</si>
  <si>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</si>
  <si>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</si>
  <si>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</si>
  <si>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</si>
  <si>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</si>
  <si>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</si>
  <si>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</si>
  <si>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</si>
  <si>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</si>
  <si>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</si>
  <si>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</si>
  <si>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</si>
  <si>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</si>
  <si>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</si>
  <si>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</si>
  <si>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</si>
  <si>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</si>
  <si>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</si>
  <si>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</si>
  <si>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Sim</t>
  </si>
  <si>
    <t>SINAPI</t>
  </si>
  <si>
    <t>COMP 01</t>
  </si>
  <si>
    <t>M3</t>
  </si>
  <si>
    <t>DRENAGEM PLUVIAL</t>
  </si>
  <si>
    <t>Execução das obras de pavimentação / recapeamento asfáltico e drenagem pluvial</t>
  </si>
  <si>
    <t>Município de Presidente Olegário</t>
  </si>
  <si>
    <t>Presidente Olegário / MG</t>
  </si>
  <si>
    <t>Rhenys da Silva Cambraia</t>
  </si>
  <si>
    <t>Prefeito Municipal</t>
  </si>
  <si>
    <t>SEINFRA</t>
  </si>
  <si>
    <t>RO-40160</t>
  </si>
  <si>
    <t>Secretaria de Estado de Governo - SEGOV</t>
  </si>
  <si>
    <t xml:space="preserve">Rua Guilhermina Moreira (trecho entre a Rua Juvenal Correa e a Rua Professor Antônio Secundino) </t>
  </si>
  <si>
    <t>Recapeamento asfáltico em CBUQ, execução de linhas de resina acrílica e execução de sarjeta de concreto urbano na Rua Guilhermina Moreira, no Bairro Planalto.</t>
  </si>
  <si>
    <t>Recapeamento asfáltico em CBUQ na Rua Guilhemina Moreira</t>
  </si>
  <si>
    <t>Única</t>
  </si>
  <si>
    <t>INSTALAÇÕES INICIAIS DA OBRA</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</si>
  <si>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</si>
  <si>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</si>
  <si>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U</t>
  </si>
  <si>
    <t>OBRAS VIÁRIAS</t>
  </si>
  <si>
    <t>RO-51229</t>
  </si>
  <si>
    <t>Pintura de ligação (Execução e fornecimento do material betuminoso, exclusive transporte do material betuminoso)</t>
  </si>
  <si>
    <t>M2</t>
  </si>
  <si>
    <t>RO-41376</t>
  </si>
  <si>
    <t>Transporte de material de qualquer natureza. Distância média de transporte &gt;= 50,10 km</t>
  </si>
  <si>
    <t>TXKM</t>
  </si>
  <si>
    <t>ED-7623</t>
  </si>
  <si>
    <t>EXECUÇÃO E APLICAÇÃO DE CONCRETO BETUMINOSO USINADO A QUENTE (CBUQ), MASSA COMERCIAL, INCLUINDO FORNECIMENTO E TRANSPORTE DOS AGREGADOS E MATERIAL BETUMINOSO, EXCLUSIVE TRANSPORTE DA MASSA ASFÁLTICA ATÉ A PISTA</t>
  </si>
  <si>
    <t>RO-14036</t>
  </si>
  <si>
    <t>Transporte de Concreto Betuminoso Usinado a Quente. Distância média de transporte de 30,10 a 40,00 km (volume compactado)</t>
  </si>
  <si>
    <t>M3XKM</t>
  </si>
  <si>
    <t>SINALIZAÇÃO</t>
  </si>
  <si>
    <t>RO-41243</t>
  </si>
  <si>
    <t>Linhas de resina acrilica 0,6mm com Largura &gt; 0,30m (execução, inclusive pré-marcação, fornecimento e transporte de todos os materiais)</t>
  </si>
  <si>
    <t>RO-41779</t>
  </si>
  <si>
    <t>Setas, simbolos e dizeres de resina acrílica 0,6mm de espessura (Execução, incluindo pré-marcação, fornecimento e transporte de todos os materiais)</t>
  </si>
  <si>
    <t>RO-41237</t>
  </si>
  <si>
    <t>Linhas de resina acrilica de 0,6mm de espessura e Largura = 0,10m (Execução, incluindo pré-marcação, fornecimento e transporte de todos os materiais)</t>
  </si>
  <si>
    <t>M</t>
  </si>
  <si>
    <t>ED-48507</t>
  </si>
  <si>
    <t>DEMOLIÇÃO MANUAL DE SARJETA OU SARJETÃO DE CONCRETO, INCLUSIVE AFASTAMENTO E EMPILHAMENTO, EXCLUSIVE TRANSPORTE E RETIRADA DO MATERIAL DEMOLIDO</t>
  </si>
  <si>
    <t>ED-51130</t>
  </si>
  <si>
    <t>TRANSPORTE DE MATERIAL DE QUALQUER NATUREZA EM CAMINHÃO DMT &gt; 5 KM (DENTRO DO PERÍMETRO URBANO)</t>
  </si>
  <si>
    <t>ED-14762</t>
  </si>
  <si>
    <t>SARJETA DE CONCRETO URBANO (SCU), TIPO 1, COM FCK 15 MPA , LARGURA DE 30CM COM INCLINAÇÃO DE 3%, ESP. 7CM, PADRÃO DER-MG, EXCLUSIVE MEIO-FIO, INCLUSIVE ESCAVAÇÃO, APILAOMENTO E TRANSPORTE COM RETIRADA DO MATERIAL ESCAVADO (EM CAÇAMBA)</t>
  </si>
  <si>
    <t>1491003210/2022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</si>
</sst>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1">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5" applyNumberFormat="1"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22" fillId="0" borderId="12" xfId="70" applyFont="1" applyBorder="1" applyAlignment="1" applyProtection="1">
      <alignment horizontal="left" vertical="top"/>
    </xf>
    <xf numFmtId="10" fontId="1" fillId="0" borderId="0" xfId="74"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5"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69" applyFont="1" applyProtection="1"/>
    <xf numFmtId="0" fontId="22" fillId="0" borderId="0" xfId="69" applyFont="1" applyAlignment="1" applyProtection="1">
      <alignment horizontal="center"/>
    </xf>
    <xf numFmtId="0" fontId="22" fillId="0" borderId="14" xfId="69" applyFont="1" applyBorder="1" applyAlignment="1" applyProtection="1">
      <alignment horizontal="center"/>
    </xf>
    <xf numFmtId="10" fontId="31" fillId="0" borderId="14" xfId="69" applyNumberFormat="1" applyFont="1" applyFill="1" applyBorder="1" applyAlignment="1" applyProtection="1">
      <alignment horizontal="center"/>
    </xf>
    <xf numFmtId="0" fontId="21" fillId="0" borderId="0" xfId="69" applyFont="1" applyAlignment="1" applyProtection="1">
      <alignment horizontal="center"/>
    </xf>
    <xf numFmtId="0" fontId="32" fillId="0" borderId="0" xfId="69" applyFont="1" applyAlignment="1" applyProtection="1"/>
    <xf numFmtId="0" fontId="22" fillId="0" borderId="0" xfId="69" applyFont="1" applyProtection="1"/>
    <xf numFmtId="0" fontId="22" fillId="0" borderId="14" xfId="69" applyFont="1" applyFill="1" applyBorder="1" applyAlignment="1" applyProtection="1">
      <alignment horizontal="center" vertical="center" wrapText="1"/>
    </xf>
    <xf numFmtId="0" fontId="30" fillId="0" borderId="14" xfId="69" applyFont="1" applyBorder="1" applyAlignment="1" applyProtection="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xf>
    <xf numFmtId="10" fontId="30" fillId="0" borderId="14" xfId="69" applyNumberFormat="1" applyFont="1" applyFill="1" applyBorder="1" applyAlignment="1" applyProtection="1">
      <alignment horizontal="center" vertical="center" wrapText="1"/>
    </xf>
    <xf numFmtId="0" fontId="30" fillId="0" borderId="14" xfId="69" applyFont="1" applyFill="1" applyBorder="1" applyAlignment="1" applyProtection="1">
      <alignment horizontal="center" vertical="center" wrapText="1"/>
    </xf>
    <xf numFmtId="0" fontId="39" fillId="0" borderId="0" xfId="69" applyFont="1" applyFill="1" applyBorder="1" applyAlignment="1" applyProtection="1">
      <alignment horizontal="center" vertical="center" wrapText="1"/>
    </xf>
    <xf numFmtId="10" fontId="39" fillId="0" borderId="0" xfId="69" applyNumberFormat="1" applyFont="1" applyFill="1" applyBorder="1" applyAlignment="1" applyProtection="1">
      <alignment horizontal="center" vertical="center"/>
    </xf>
    <xf numFmtId="170" fontId="1" fillId="0" borderId="0" xfId="69" applyNumberFormat="1" applyFont="1" applyAlignment="1" applyProtection="1"/>
    <xf numFmtId="0" fontId="30" fillId="0" borderId="0" xfId="69" applyFont="1" applyBorder="1" applyProtection="1"/>
    <xf numFmtId="0" fontId="1" fillId="0" borderId="0" xfId="69" applyFont="1" applyBorder="1" applyProtection="1"/>
    <xf numFmtId="0" fontId="30" fillId="0" borderId="0" xfId="69" applyFont="1" applyProtection="1"/>
    <xf numFmtId="0" fontId="30" fillId="0" borderId="0" xfId="69" applyFont="1" applyAlignment="1" applyProtection="1">
      <alignment vertical="top"/>
    </xf>
    <xf numFmtId="0" fontId="34" fillId="0" borderId="0" xfId="69"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pplyProtection="1">
      <alignment vertical="top"/>
    </xf>
    <xf numFmtId="0" fontId="22" fillId="0" borderId="15" xfId="70" applyFont="1" applyBorder="1" applyAlignment="1" applyProtection="1">
      <alignment horizontal="center" vertical="top"/>
    </xf>
    <xf numFmtId="0" fontId="0" fillId="0" borderId="0" xfId="0" applyFont="1" applyProtection="1"/>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NumberFormat="1" applyFont="1" applyFill="1" applyBorder="1" applyAlignment="1" applyProtection="1">
      <alignment horizontal="center" vertical="center" shrinkToFit="1"/>
    </xf>
    <xf numFmtId="164" fontId="1" fillId="0" borderId="20" xfId="85"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69" applyFont="1" applyBorder="1" applyAlignment="1" applyProtection="1">
      <alignment horizontal="center" vertical="top"/>
    </xf>
    <xf numFmtId="0" fontId="38" fillId="0" borderId="0" xfId="70"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69" applyNumberFormat="1" applyFont="1" applyFill="1" applyBorder="1" applyAlignment="1" applyProtection="1">
      <alignment horizontal="center" vertical="center" wrapText="1"/>
    </xf>
    <xf numFmtId="0" fontId="46" fillId="0" borderId="0" xfId="69" applyFont="1" applyAlignment="1" applyProtection="1">
      <alignment wrapText="1"/>
    </xf>
    <xf numFmtId="0" fontId="47" fillId="0" borderId="0" xfId="69" applyFont="1" applyAlignment="1" applyProtection="1">
      <alignment vertical="top" wrapText="1"/>
    </xf>
    <xf numFmtId="0" fontId="44" fillId="0" borderId="14" xfId="69" applyFont="1" applyBorder="1" applyAlignment="1" applyProtection="1">
      <alignment horizontal="center" vertical="center"/>
    </xf>
    <xf numFmtId="4" fontId="26" fillId="0" borderId="0" xfId="69" applyNumberFormat="1" applyFont="1" applyFill="1" applyBorder="1" applyAlignment="1" applyProtection="1">
      <alignment horizontal="center" vertical="center" wrapText="1"/>
    </xf>
    <xf numFmtId="0" fontId="1" fillId="0" borderId="0" xfId="69"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5"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22" fillId="0" borderId="11" xfId="70" applyFont="1" applyFill="1" applyBorder="1" applyAlignment="1" applyProtection="1">
      <alignment horizontal="left" vertical="top"/>
    </xf>
    <xf numFmtId="0" fontId="22" fillId="0" borderId="11" xfId="70" applyFont="1" applyFill="1" applyBorder="1" applyAlignment="1" applyProtection="1">
      <alignment vertical="top"/>
    </xf>
    <xf numFmtId="0" fontId="22" fillId="0" borderId="15" xfId="70"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pplyProtection="1">
      <alignment horizontal="left"/>
    </xf>
    <xf numFmtId="0" fontId="1" fillId="0" borderId="17" xfId="69"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NumberFormat="1" applyFont="1" applyFill="1" applyBorder="1" applyAlignment="1" applyProtection="1">
      <alignment vertical="center" shrinkToFit="1"/>
      <protection locked="0"/>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0" applyFont="1" applyFill="1" applyBorder="1" applyAlignment="1" applyProtection="1">
      <alignment horizontal="left" vertical="top"/>
    </xf>
    <xf numFmtId="0" fontId="22" fillId="0" borderId="0" xfId="70" applyFont="1" applyFill="1" applyBorder="1" applyAlignment="1" applyProtection="1">
      <alignment horizontal="left" vertical="top"/>
    </xf>
    <xf numFmtId="0" fontId="22" fillId="0" borderId="12" xfId="70" applyFont="1" applyFill="1" applyBorder="1" applyAlignment="1" applyProtection="1">
      <alignment horizontal="left" vertical="top"/>
    </xf>
    <xf numFmtId="0" fontId="22" fillId="0" borderId="11" xfId="70" applyFont="1" applyBorder="1" applyAlignment="1" applyProtection="1">
      <alignment horizontal="left" vertical="top"/>
    </xf>
    <xf numFmtId="0" fontId="22" fillId="0" borderId="0" xfId="70" applyFont="1" applyBorder="1" applyAlignment="1" applyProtection="1">
      <alignment horizontal="left" vertical="top"/>
    </xf>
    <xf numFmtId="0" fontId="22" fillId="0" borderId="12" xfId="70"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0" fillId="25" borderId="18" xfId="0" applyFill="1" applyBorder="1" applyAlignment="1" applyProtection="1">
      <alignment horizontal="left" vertical="top" wrapText="1"/>
      <protection locked="0"/>
    </xf>
    <xf numFmtId="49" fontId="1" fillId="25" borderId="18" xfId="0" applyNumberFormat="1" applyFon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0" fontId="1" fillId="0" borderId="18"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0" applyFont="1" applyFill="1" applyBorder="1" applyAlignment="1" applyProtection="1">
      <alignment horizontal="left" vertical="top"/>
    </xf>
    <xf numFmtId="0" fontId="38" fillId="0" borderId="12" xfId="70"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1" fillId="25" borderId="17" xfId="0" applyFont="1"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0" applyFont="1" applyBorder="1" applyAlignment="1" applyProtection="1">
      <alignment horizontal="left" vertical="top"/>
    </xf>
    <xf numFmtId="0" fontId="38" fillId="0" borderId="12" xfId="70" applyFont="1" applyBorder="1" applyAlignment="1" applyProtection="1">
      <alignment horizontal="left" vertical="top"/>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69" applyNumberFormat="1" applyFont="1" applyFill="1" applyBorder="1" applyAlignment="1" applyProtection="1">
      <alignment horizontal="left"/>
      <protection locked="0"/>
    </xf>
    <xf numFmtId="0" fontId="26" fillId="0" borderId="0" xfId="69" applyFont="1" applyBorder="1" applyAlignment="1" applyProtection="1">
      <alignment horizontal="left" vertical="center"/>
    </xf>
    <xf numFmtId="0" fontId="22" fillId="0" borderId="0" xfId="69" applyFont="1" applyBorder="1" applyAlignment="1" applyProtection="1">
      <alignment horizontal="left" vertical="center"/>
    </xf>
    <xf numFmtId="10" fontId="2" fillId="25" borderId="14" xfId="69" applyNumberFormat="1" applyFont="1" applyFill="1" applyBorder="1" applyAlignment="1" applyProtection="1">
      <alignment horizontal="center"/>
      <protection locked="0"/>
    </xf>
    <xf numFmtId="0" fontId="2" fillId="0" borderId="14" xfId="69" applyFont="1" applyFill="1" applyBorder="1" applyAlignment="1" applyProtection="1">
      <alignment horizontal="left"/>
    </xf>
    <xf numFmtId="0" fontId="26" fillId="0" borderId="14" xfId="69" applyFont="1" applyBorder="1" applyAlignment="1" applyProtection="1">
      <alignment horizontal="center" vertical="center"/>
    </xf>
    <xf numFmtId="0" fontId="2" fillId="0" borderId="14" xfId="69" applyFont="1" applyFill="1" applyBorder="1" applyAlignment="1" applyProtection="1">
      <alignment horizontal="left" wrapText="1"/>
    </xf>
    <xf numFmtId="0" fontId="26" fillId="0" borderId="14" xfId="69" applyFont="1" applyFill="1" applyBorder="1" applyAlignment="1" applyProtection="1">
      <alignment horizontal="center" vertical="center"/>
    </xf>
    <xf numFmtId="4" fontId="26" fillId="0" borderId="14" xfId="69" applyNumberFormat="1" applyFont="1" applyFill="1" applyBorder="1" applyAlignment="1" applyProtection="1">
      <alignment horizontal="center" vertical="center" wrapText="1"/>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Font="1" applyFill="1" applyBorder="1" applyAlignment="1" applyProtection="1">
      <alignment horizontal="center" vertical="top" wrapText="1"/>
    </xf>
    <xf numFmtId="0" fontId="1" fillId="0" borderId="38" xfId="69" applyFont="1" applyFill="1" applyBorder="1" applyAlignment="1" applyProtection="1">
      <alignment horizontal="center" vertical="top" wrapText="1"/>
    </xf>
    <xf numFmtId="0" fontId="1" fillId="0" borderId="18" xfId="69" applyFont="1" applyFill="1" applyBorder="1" applyAlignment="1" applyProtection="1">
      <alignment horizontal="left" vertical="top" wrapText="1"/>
    </xf>
    <xf numFmtId="0" fontId="1" fillId="0" borderId="38" xfId="69" applyFont="1" applyFill="1" applyBorder="1" applyAlignment="1" applyProtection="1">
      <alignment horizontal="left" vertical="top" wrapText="1"/>
    </xf>
    <xf numFmtId="49" fontId="1" fillId="0" borderId="18" xfId="69" applyNumberFormat="1" applyFont="1" applyFill="1" applyBorder="1" applyAlignment="1" applyProtection="1">
      <alignment horizontal="left" vertical="top" wrapText="1"/>
    </xf>
    <xf numFmtId="0" fontId="1" fillId="0" borderId="13" xfId="69" applyNumberFormat="1" applyFont="1" applyFill="1" applyBorder="1" applyAlignment="1" applyProtection="1">
      <alignment horizontal="left" vertical="top" wrapText="1"/>
    </xf>
    <xf numFmtId="0" fontId="1" fillId="0" borderId="38" xfId="69" applyNumberFormat="1" applyFont="1" applyFill="1" applyBorder="1" applyAlignment="1" applyProtection="1">
      <alignment horizontal="left" vertical="top" wrapText="1"/>
    </xf>
    <xf numFmtId="0" fontId="2" fillId="0" borderId="16" xfId="67" applyNumberFormat="1" applyFont="1" applyFill="1" applyBorder="1" applyAlignment="1" applyProtection="1">
      <alignment horizontal="left" wrapText="1"/>
    </xf>
    <xf numFmtId="0" fontId="47" fillId="0" borderId="0" xfId="69" applyFont="1" applyAlignment="1" applyProtection="1">
      <alignment horizontal="center" vertical="top" wrapText="1"/>
    </xf>
    <xf numFmtId="171" fontId="1" fillId="0" borderId="13" xfId="69" applyNumberFormat="1" applyFont="1" applyFill="1" applyBorder="1" applyAlignment="1" applyProtection="1">
      <alignment horizontal="left"/>
    </xf>
    <xf numFmtId="0" fontId="1" fillId="0" borderId="14" xfId="69" applyFont="1" applyBorder="1" applyAlignment="1" applyProtection="1">
      <alignment horizontal="left" vertical="center" wrapText="1"/>
    </xf>
    <xf numFmtId="0" fontId="1" fillId="0" borderId="14" xfId="69" applyFont="1" applyBorder="1" applyAlignment="1" applyProtection="1">
      <alignment horizontal="left" vertical="center"/>
    </xf>
    <xf numFmtId="0" fontId="22" fillId="0" borderId="14" xfId="69" applyFont="1" applyFill="1" applyBorder="1" applyAlignment="1" applyProtection="1">
      <alignment horizontal="center" vertical="center"/>
    </xf>
    <xf numFmtId="0" fontId="35" fillId="0" borderId="14" xfId="69"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69" applyNumberFormat="1" applyFont="1" applyFill="1" applyBorder="1" applyAlignment="1" applyProtection="1">
      <alignment horizontal="left"/>
    </xf>
    <xf numFmtId="0" fontId="45" fillId="0" borderId="0" xfId="69" applyFont="1" applyAlignment="1" applyProtection="1">
      <alignment horizontal="left" vertical="center" indent="1"/>
    </xf>
    <xf numFmtId="0" fontId="39" fillId="0" borderId="0" xfId="69" applyFont="1" applyBorder="1" applyAlignment="1" applyProtection="1">
      <alignment horizontal="left" vertical="center" wrapText="1"/>
    </xf>
    <xf numFmtId="2" fontId="33" fillId="0" borderId="17" xfId="69" applyNumberFormat="1" applyFont="1" applyFill="1" applyBorder="1" applyAlignment="1" applyProtection="1">
      <alignment horizontal="center" vertical="center"/>
    </xf>
    <xf numFmtId="0" fontId="1" fillId="0" borderId="0" xfId="69" applyFont="1" applyBorder="1" applyAlignment="1" applyProtection="1">
      <alignment horizontal="center" vertical="center"/>
    </xf>
    <xf numFmtId="168" fontId="1" fillId="0" borderId="13" xfId="69" applyNumberFormat="1" applyFont="1" applyBorder="1" applyAlignment="1" applyProtection="1">
      <alignment horizontal="left"/>
    </xf>
    <xf numFmtId="49" fontId="1" fillId="25" borderId="32" xfId="69" applyNumberFormat="1" applyFont="1" applyFill="1" applyBorder="1" applyAlignment="1" applyProtection="1">
      <alignment horizontal="left" vertical="top" wrapText="1"/>
      <protection locked="0"/>
    </xf>
    <xf numFmtId="49" fontId="1" fillId="25" borderId="10" xfId="69" applyNumberFormat="1" applyFont="1" applyFill="1" applyBorder="1" applyAlignment="1" applyProtection="1">
      <alignment horizontal="left" vertical="top" wrapText="1"/>
      <protection locked="0"/>
    </xf>
    <xf numFmtId="49" fontId="1" fillId="25" borderId="19" xfId="69" applyNumberFormat="1" applyFont="1" applyFill="1" applyBorder="1" applyAlignment="1" applyProtection="1">
      <alignment horizontal="left" vertical="top" wrapText="1"/>
      <protection locked="0"/>
    </xf>
    <xf numFmtId="0" fontId="1" fillId="0" borderId="17" xfId="69"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5" applyNumberFormat="1"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345">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01157"/>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200-0000B9070300}"/>
                </a:ext>
              </a:extLst>
            </xdr:cNvPr>
            <xdr:cNvPicPr>
              <a:picLocks noChangeArrowheads="1"/>
              <a:extLst>
                <a:ext uri="{84589F7E-364E-4C9E-8A38-B11213B215E9}">
                  <a14:cameraTool cellRange="DADOS!$A$220:$X$230" spid="_x0000_s198581"/>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39</xdr:row>
          <xdr:rowOff>0</xdr:rowOff>
        </xdr:from>
        <xdr:to>
          <xdr:col>19</xdr:col>
          <xdr:colOff>219075</xdr:colOff>
          <xdr:row>43</xdr:row>
          <xdr:rowOff>142875</xdr:rowOff>
        </xdr:to>
        <xdr:pic>
          <xdr:nvPicPr>
            <xdr:cNvPr id="198588" name="Picture 483">
              <a:extLst>
                <a:ext uri="{FF2B5EF4-FFF2-40B4-BE49-F238E27FC236}">
                  <a16:creationId xmlns:a16="http://schemas.microsoft.com/office/drawing/2014/main" id="{00000000-0008-0000-0200-0000BC070300}"/>
                </a:ext>
              </a:extLst>
            </xdr:cNvPr>
            <xdr:cNvPicPr>
              <a:picLocks noChangeArrowheads="1"/>
              <a:extLst>
                <a:ext uri="{84589F7E-364E-4C9E-8A38-B11213B215E9}">
                  <a14:cameraTool cellRange="DADOS!$A$53:$K$57" spid="_x0000_s198582"/>
                </a:ext>
              </a:extLst>
            </xdr:cNvPicPr>
          </xdr:nvPicPr>
          <xdr:blipFill>
            <a:blip xmlns:r="http://schemas.openxmlformats.org/officeDocument/2006/relationships" r:embed="rId2"/>
            <a:srcRect/>
            <a:stretch>
              <a:fillRect/>
            </a:stretch>
          </xdr:blipFill>
          <xdr:spPr bwMode="auto">
            <a:xfrm>
              <a:off x="7210425" y="10167938"/>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300-0000E20A0300}"/>
                </a:ext>
              </a:extLst>
            </xdr:cNvPr>
            <xdr:cNvPicPr>
              <a:picLocks noChangeArrowheads="1"/>
              <a:extLst>
                <a:ext uri="{84589F7E-364E-4C9E-8A38-B11213B215E9}">
                  <a14:cameraTool cellRange="DADOS!$A$220:$X$230" spid="_x0000_s208661"/>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300-0000E30A0300}"/>
                </a:ext>
              </a:extLst>
            </xdr:cNvPr>
            <xdr:cNvPicPr>
              <a:picLocks noChangeArrowheads="1"/>
              <a:extLst>
                <a:ext uri="{84589F7E-364E-4C9E-8A38-B11213B215E9}">
                  <a14:cameraTool cellRange="DADOS!$A$220:$X$230" spid="_x0000_s208662"/>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30</xdr:row>
          <xdr:rowOff>9525</xdr:rowOff>
        </xdr:from>
        <xdr:to>
          <xdr:col>14</xdr:col>
          <xdr:colOff>28575</xdr:colOff>
          <xdr:row>34</xdr:row>
          <xdr:rowOff>152400</xdr:rowOff>
        </xdr:to>
        <xdr:pic>
          <xdr:nvPicPr>
            <xdr:cNvPr id="199399" name="Picture 483">
              <a:extLst>
                <a:ext uri="{FF2B5EF4-FFF2-40B4-BE49-F238E27FC236}">
                  <a16:creationId xmlns:a16="http://schemas.microsoft.com/office/drawing/2014/main" id="{00000000-0008-0000-0300-0000E70A0300}"/>
                </a:ext>
              </a:extLst>
            </xdr:cNvPr>
            <xdr:cNvPicPr>
              <a:picLocks noChangeArrowheads="1"/>
              <a:extLst>
                <a:ext uri="{84589F7E-364E-4C9E-8A38-B11213B215E9}">
                  <a14:cameraTool cellRange="DADOS!$A$53:$K$57" spid="_x0000_s208663"/>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300-0000E80A0300}"/>
                </a:ext>
              </a:extLst>
            </xdr:cNvPr>
            <xdr:cNvPicPr>
              <a:picLocks noChangeArrowheads="1"/>
              <a:extLst>
                <a:ext uri="{84589F7E-364E-4C9E-8A38-B11213B215E9}">
                  <a14:cameraTool cellRange="PO!$T$1:$T$2" spid="_x0000_s208664"/>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400-0000E00F0300}"/>
                </a:ext>
              </a:extLst>
            </xdr:cNvPr>
            <xdr:cNvPicPr>
              <a:picLocks noChangeArrowheads="1"/>
              <a:extLst>
                <a:ext uri="{84589F7E-364E-4C9E-8A38-B11213B215E9}">
                  <a14:cameraTool cellRange="DADOS!$A$220:$X$230" spid="_x0000_s212167"/>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400-0000E10F0300}"/>
                </a:ext>
              </a:extLst>
            </xdr:cNvPr>
            <xdr:cNvPicPr>
              <a:picLocks noChangeArrowheads="1"/>
              <a:extLst>
                <a:ext uri="{84589F7E-364E-4C9E-8A38-B11213B215E9}">
                  <a14:cameraTool cellRange="DADOS!$A$220:$X$230" spid="_x0000_s212168"/>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34</xdr:row>
          <xdr:rowOff>0</xdr:rowOff>
        </xdr:from>
        <xdr:to>
          <xdr:col>22</xdr:col>
          <xdr:colOff>28575</xdr:colOff>
          <xdr:row>38</xdr:row>
          <xdr:rowOff>142875</xdr:rowOff>
        </xdr:to>
        <xdr:pic>
          <xdr:nvPicPr>
            <xdr:cNvPr id="200674" name="Picture 483">
              <a:extLst>
                <a:ext uri="{FF2B5EF4-FFF2-40B4-BE49-F238E27FC236}">
                  <a16:creationId xmlns:a16="http://schemas.microsoft.com/office/drawing/2014/main" id="{00000000-0008-0000-0400-0000E20F0300}"/>
                </a:ext>
              </a:extLst>
            </xdr:cNvPr>
            <xdr:cNvPicPr>
              <a:picLocks noChangeArrowheads="1"/>
              <a:extLst>
                <a:ext uri="{84589F7E-364E-4C9E-8A38-B11213B215E9}">
                  <a14:cameraTool cellRange="DADOS!$A$53:$K$57" spid="_x0000_s212169"/>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400-0000E30F0300}"/>
                </a:ext>
              </a:extLst>
            </xdr:cNvPr>
            <xdr:cNvPicPr>
              <a:picLocks noChangeArrowheads="1"/>
              <a:extLst>
                <a:ext uri="{84589F7E-364E-4C9E-8A38-B11213B215E9}">
                  <a14:cameraTool cellRange="PO!$T$1:$T$2" spid="_x0000_s212170"/>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76" name="Picture 483">
              <a:extLst>
                <a:ext uri="{FF2B5EF4-FFF2-40B4-BE49-F238E27FC236}">
                  <a16:creationId xmlns:a16="http://schemas.microsoft.com/office/drawing/2014/main" id="{00000000-0008-0000-0400-0000E40F0300}"/>
                </a:ext>
              </a:extLst>
            </xdr:cNvPr>
            <xdr:cNvPicPr>
              <a:picLocks noChangeArrowheads="1"/>
              <a:extLst>
                <a:ext uri="{84589F7E-364E-4C9E-8A38-B11213B215E9}">
                  <a14:cameraTool cellRange="DADOS!$A$53:$K$57" spid="_x0000_s212171"/>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400-0000E50F0300}"/>
                </a:ext>
              </a:extLst>
            </xdr:cNvPr>
            <xdr:cNvPicPr>
              <a:picLocks noChangeArrowheads="1"/>
              <a:extLst>
                <a:ext uri="{84589F7E-364E-4C9E-8A38-B11213B215E9}">
                  <a14:cameraTool cellRange="PO!$T$1:$T$2" spid="_x0000_s212172"/>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78" name="Picture 483">
              <a:extLst>
                <a:ext uri="{FF2B5EF4-FFF2-40B4-BE49-F238E27FC236}">
                  <a16:creationId xmlns:a16="http://schemas.microsoft.com/office/drawing/2014/main" id="{00000000-0008-0000-0400-0000E60F0300}"/>
                </a:ext>
              </a:extLst>
            </xdr:cNvPr>
            <xdr:cNvPicPr>
              <a:picLocks noChangeArrowheads="1"/>
              <a:extLst>
                <a:ext uri="{84589F7E-364E-4C9E-8A38-B11213B215E9}">
                  <a14:cameraTool cellRange="DADOS!$A$53:$K$57" spid="_x0000_s212173"/>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400-0000E70F0300}"/>
                </a:ext>
              </a:extLst>
            </xdr:cNvPr>
            <xdr:cNvPicPr>
              <a:picLocks noChangeArrowheads="1"/>
              <a:extLst>
                <a:ext uri="{84589F7E-364E-4C9E-8A38-B11213B215E9}">
                  <a14:cameraTool cellRange="PO!$T$1:$T$2" spid="_x0000_s212174"/>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0" name="Picture 483">
              <a:extLst>
                <a:ext uri="{FF2B5EF4-FFF2-40B4-BE49-F238E27FC236}">
                  <a16:creationId xmlns:a16="http://schemas.microsoft.com/office/drawing/2014/main" id="{00000000-0008-0000-0400-0000E80F0300}"/>
                </a:ext>
              </a:extLst>
            </xdr:cNvPr>
            <xdr:cNvPicPr>
              <a:picLocks noChangeArrowheads="1"/>
              <a:extLst>
                <a:ext uri="{84589F7E-364E-4C9E-8A38-B11213B215E9}">
                  <a14:cameraTool cellRange="DADOS!$A$53:$K$57" spid="_x0000_s212175"/>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400-0000E90F0300}"/>
                </a:ext>
              </a:extLst>
            </xdr:cNvPr>
            <xdr:cNvPicPr>
              <a:picLocks noChangeArrowheads="1"/>
              <a:extLst>
                <a:ext uri="{84589F7E-364E-4C9E-8A38-B11213B215E9}">
                  <a14:cameraTool cellRange="PO!$T$1:$T$2" spid="_x0000_s212176"/>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2" name="Picture 483">
              <a:extLst>
                <a:ext uri="{FF2B5EF4-FFF2-40B4-BE49-F238E27FC236}">
                  <a16:creationId xmlns:a16="http://schemas.microsoft.com/office/drawing/2014/main" id="{00000000-0008-0000-0400-0000EA0F0300}"/>
                </a:ext>
              </a:extLst>
            </xdr:cNvPr>
            <xdr:cNvPicPr>
              <a:picLocks noChangeArrowheads="1"/>
              <a:extLst>
                <a:ext uri="{84589F7E-364E-4C9E-8A38-B11213B215E9}">
                  <a14:cameraTool cellRange="DADOS!$A$53:$K$57" spid="_x0000_s212177"/>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400-0000EB0F0300}"/>
                </a:ext>
              </a:extLst>
            </xdr:cNvPr>
            <xdr:cNvPicPr>
              <a:picLocks noChangeArrowheads="1"/>
              <a:extLst>
                <a:ext uri="{84589F7E-364E-4C9E-8A38-B11213B215E9}">
                  <a14:cameraTool cellRange="PO!$T$1:$T$2" spid="_x0000_s212178"/>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4" name="Picture 483">
              <a:extLst>
                <a:ext uri="{FF2B5EF4-FFF2-40B4-BE49-F238E27FC236}">
                  <a16:creationId xmlns:a16="http://schemas.microsoft.com/office/drawing/2014/main" id="{00000000-0008-0000-0400-0000EC0F0300}"/>
                </a:ext>
              </a:extLst>
            </xdr:cNvPr>
            <xdr:cNvPicPr>
              <a:picLocks noChangeArrowheads="1"/>
              <a:extLst>
                <a:ext uri="{84589F7E-364E-4C9E-8A38-B11213B215E9}">
                  <a14:cameraTool cellRange="DADOS!$A$53:$K$57" spid="_x0000_s212179"/>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400-0000ED0F0300}"/>
                </a:ext>
              </a:extLst>
            </xdr:cNvPr>
            <xdr:cNvPicPr>
              <a:picLocks noChangeArrowheads="1"/>
              <a:extLst>
                <a:ext uri="{84589F7E-364E-4C9E-8A38-B11213B215E9}">
                  <a14:cameraTool cellRange="PO!$T$1:$T$2" spid="_x0000_s212180"/>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4" zoomScaleNormal="100" zoomScaleSheetLayoutView="100" workbookViewId="0">
      <selection activeCell="A30" sqref="A30"/>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91" t="s">
        <v>2</v>
      </c>
      <c r="C1" s="291"/>
      <c r="D1" s="291"/>
      <c r="E1" s="291"/>
      <c r="F1" s="291"/>
      <c r="G1" s="291"/>
      <c r="H1" s="291"/>
      <c r="I1" s="291"/>
      <c r="J1" s="291"/>
      <c r="K1" s="291"/>
      <c r="L1" s="291"/>
      <c r="M1" s="291"/>
      <c r="N1" s="291"/>
      <c r="O1" s="291"/>
      <c r="P1" s="291"/>
      <c r="Q1" s="291"/>
      <c r="R1" s="291"/>
      <c r="S1" s="291"/>
      <c r="T1" s="291"/>
      <c r="U1" s="291"/>
      <c r="V1" s="291"/>
      <c r="W1" s="291"/>
      <c r="X1" s="292"/>
    </row>
    <row r="2" spans="1:25" ht="13.5" customHeight="1" x14ac:dyDescent="0.2">
      <c r="A2" s="105" t="s">
        <v>229</v>
      </c>
      <c r="B2" s="293"/>
      <c r="C2" s="293"/>
      <c r="D2" s="293"/>
      <c r="E2" s="293"/>
      <c r="F2" s="293"/>
      <c r="G2" s="293"/>
      <c r="H2" s="293"/>
      <c r="I2" s="293"/>
      <c r="J2" s="293"/>
      <c r="K2" s="293"/>
      <c r="L2" s="293"/>
      <c r="M2" s="293"/>
      <c r="N2" s="293"/>
      <c r="O2" s="293"/>
      <c r="P2" s="293"/>
      <c r="Q2" s="293"/>
      <c r="R2" s="293"/>
      <c r="S2" s="293"/>
      <c r="T2" s="293"/>
      <c r="U2" s="293"/>
      <c r="V2" s="293"/>
      <c r="W2" s="293"/>
      <c r="X2" s="294"/>
    </row>
    <row r="3" spans="1:25" ht="13.5" customHeight="1" x14ac:dyDescent="0.2">
      <c r="A3" s="1"/>
      <c r="B3" s="1"/>
      <c r="F3" s="1"/>
      <c r="G3" s="1"/>
      <c r="H3" s="1"/>
    </row>
    <row r="4" spans="1:25" s="21" customFormat="1" ht="12.75" customHeight="1" x14ac:dyDescent="0.2">
      <c r="A4" s="304" t="s">
        <v>169</v>
      </c>
      <c r="B4" s="304"/>
      <c r="C4" s="304"/>
      <c r="D4" s="304"/>
      <c r="E4" s="304"/>
      <c r="F4" s="304"/>
      <c r="G4" s="304"/>
      <c r="H4" s="304"/>
      <c r="I4" s="304"/>
      <c r="J4" s="304"/>
      <c r="K4" s="304"/>
      <c r="L4" s="304"/>
      <c r="M4" s="304"/>
      <c r="N4" s="304"/>
      <c r="O4" s="304"/>
      <c r="P4" s="304"/>
      <c r="Q4" s="304"/>
      <c r="R4" s="304"/>
      <c r="S4" s="304"/>
      <c r="T4" s="304"/>
      <c r="U4" s="304"/>
      <c r="V4" s="304"/>
      <c r="W4" s="304"/>
      <c r="X4" s="304"/>
    </row>
    <row r="5" spans="1:25" s="21" customFormat="1" x14ac:dyDescent="0.2">
      <c r="A5" s="22"/>
      <c r="B5" s="22"/>
      <c r="F5" s="23"/>
      <c r="G5" s="23"/>
      <c r="H5" s="23"/>
    </row>
    <row r="6" spans="1:25" s="22" customFormat="1" ht="24.95" customHeight="1" x14ac:dyDescent="0.2">
      <c r="A6" s="305" t="s">
        <v>180</v>
      </c>
      <c r="B6" s="306"/>
      <c r="C6" s="306"/>
      <c r="D6" s="306"/>
      <c r="E6" s="306"/>
      <c r="F6" s="306"/>
      <c r="G6" s="306"/>
      <c r="H6" s="306"/>
      <c r="I6" s="306"/>
      <c r="J6" s="306"/>
      <c r="K6" s="306"/>
      <c r="L6" s="306"/>
      <c r="M6" s="306"/>
      <c r="N6" s="306"/>
      <c r="O6" s="306"/>
      <c r="P6" s="306"/>
      <c r="Q6" s="306"/>
      <c r="R6" s="306"/>
      <c r="S6" s="306"/>
      <c r="T6" s="306"/>
      <c r="U6" s="306"/>
      <c r="V6" s="306"/>
      <c r="W6" s="306"/>
      <c r="X6" s="306"/>
    </row>
    <row r="7" spans="1:25" s="21" customFormat="1" ht="12.75" customHeight="1" x14ac:dyDescent="0.2">
      <c r="A7" s="22"/>
      <c r="B7" s="22"/>
      <c r="F7" s="23"/>
      <c r="G7" s="23"/>
      <c r="H7" s="23"/>
    </row>
    <row r="8" spans="1:25" s="21" customFormat="1" ht="12.75" customHeight="1" x14ac:dyDescent="0.2">
      <c r="A8" s="307" t="s">
        <v>23</v>
      </c>
      <c r="B8" s="307"/>
      <c r="C8" s="307"/>
      <c r="D8" s="307"/>
      <c r="E8" s="307"/>
      <c r="F8" s="307"/>
      <c r="G8" s="307"/>
      <c r="H8" s="307"/>
      <c r="I8" s="307"/>
      <c r="J8" s="307"/>
      <c r="K8" s="307"/>
      <c r="L8" s="307"/>
      <c r="M8" s="307"/>
      <c r="N8" s="307"/>
      <c r="O8" s="307"/>
      <c r="P8" s="307"/>
      <c r="Q8" s="307"/>
      <c r="R8" s="307"/>
      <c r="S8" s="307"/>
      <c r="T8" s="307"/>
      <c r="U8" s="307"/>
      <c r="V8" s="307"/>
      <c r="W8" s="307"/>
      <c r="X8" s="307"/>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309" t="s">
        <v>170</v>
      </c>
      <c r="B10" s="309"/>
      <c r="C10" s="309"/>
      <c r="D10" s="309"/>
      <c r="E10" s="309"/>
      <c r="F10" s="309"/>
      <c r="G10" s="309"/>
      <c r="H10" s="309"/>
      <c r="I10" s="309"/>
      <c r="J10" s="309"/>
      <c r="K10" s="309"/>
      <c r="L10" s="309"/>
      <c r="M10" s="309"/>
      <c r="N10" s="309"/>
      <c r="O10" s="309"/>
      <c r="P10" s="309"/>
      <c r="Q10" s="309"/>
      <c r="R10" s="309"/>
      <c r="S10" s="309"/>
      <c r="T10" s="309"/>
      <c r="U10" s="309"/>
      <c r="V10" s="309"/>
      <c r="W10" s="309"/>
      <c r="X10" s="309"/>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309" t="s">
        <v>1</v>
      </c>
      <c r="B12" s="309"/>
      <c r="C12" s="309"/>
      <c r="D12" s="309"/>
      <c r="E12" s="309"/>
      <c r="F12" s="309"/>
      <c r="G12" s="309"/>
      <c r="H12" s="309"/>
      <c r="I12" s="309"/>
      <c r="J12" s="309"/>
      <c r="K12" s="309"/>
      <c r="L12" s="309"/>
      <c r="M12" s="309"/>
      <c r="N12" s="309"/>
      <c r="O12" s="309"/>
      <c r="P12" s="309"/>
      <c r="Q12" s="309"/>
      <c r="R12" s="309"/>
      <c r="S12" s="309"/>
      <c r="T12" s="309"/>
      <c r="U12" s="309"/>
      <c r="V12" s="309"/>
      <c r="W12" s="309"/>
      <c r="X12" s="309"/>
    </row>
    <row r="13" spans="1:25" s="21" customFormat="1" x14ac:dyDescent="0.2">
      <c r="A13" s="22"/>
      <c r="B13" s="22"/>
      <c r="F13" s="23"/>
      <c r="G13" s="23"/>
      <c r="H13" s="23"/>
    </row>
    <row r="14" spans="1:25" s="21" customFormat="1" x14ac:dyDescent="0.2">
      <c r="A14" s="308" t="s">
        <v>24</v>
      </c>
      <c r="B14" s="307"/>
      <c r="C14" s="307"/>
      <c r="D14" s="307"/>
      <c r="E14" s="307"/>
      <c r="F14" s="307"/>
      <c r="G14" s="307"/>
      <c r="H14" s="307"/>
      <c r="I14" s="307"/>
      <c r="J14" s="307"/>
      <c r="K14" s="307"/>
      <c r="L14" s="307"/>
      <c r="M14" s="307"/>
      <c r="N14" s="307"/>
      <c r="O14" s="307"/>
      <c r="P14" s="307"/>
      <c r="Q14" s="307"/>
      <c r="R14" s="307"/>
      <c r="S14" s="307"/>
      <c r="T14" s="307"/>
      <c r="U14" s="307"/>
      <c r="V14" s="307"/>
      <c r="W14" s="307"/>
      <c r="X14" s="307"/>
    </row>
    <row r="15" spans="1:25" s="21" customFormat="1" x14ac:dyDescent="0.2">
      <c r="A15" s="22"/>
      <c r="B15" s="22"/>
      <c r="F15" s="23"/>
      <c r="G15" s="23"/>
      <c r="H15" s="23"/>
    </row>
    <row r="16" spans="1:25" s="21" customFormat="1" x14ac:dyDescent="0.2">
      <c r="A16" s="313" t="s">
        <v>187</v>
      </c>
      <c r="B16" s="314"/>
      <c r="C16" s="314"/>
      <c r="D16" s="314"/>
      <c r="E16" s="314"/>
      <c r="F16" s="314"/>
      <c r="G16" s="314"/>
      <c r="H16" s="314"/>
      <c r="I16" s="314"/>
      <c r="J16" s="314"/>
      <c r="K16" s="314"/>
      <c r="L16" s="314"/>
      <c r="M16" s="314"/>
      <c r="N16" s="314"/>
      <c r="O16" s="314"/>
      <c r="P16" s="314"/>
      <c r="Q16" s="314"/>
      <c r="R16" s="314"/>
      <c r="S16" s="314"/>
      <c r="T16" s="314"/>
      <c r="U16" s="314"/>
      <c r="V16" s="314"/>
      <c r="W16" s="314"/>
      <c r="X16" s="314"/>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84" t="s">
        <v>188</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313" t="s">
        <v>190</v>
      </c>
      <c r="B22" s="314"/>
      <c r="C22" s="314"/>
      <c r="D22" s="314"/>
      <c r="E22" s="314"/>
      <c r="F22" s="314"/>
      <c r="G22" s="314"/>
      <c r="H22" s="314"/>
      <c r="I22" s="314"/>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84" t="s">
        <v>191</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51" t="s">
        <v>192</v>
      </c>
      <c r="B26" s="251"/>
      <c r="C26" s="252"/>
      <c r="D26" s="252"/>
      <c r="E26" s="252"/>
      <c r="F26" s="252"/>
      <c r="G26" s="252"/>
      <c r="H26" s="252"/>
      <c r="I26" s="252"/>
      <c r="J26" s="252"/>
      <c r="K26" s="252"/>
      <c r="L26" s="252"/>
      <c r="M26" s="252"/>
      <c r="N26" s="252"/>
      <c r="O26" s="252"/>
      <c r="P26" s="252"/>
      <c r="Q26" s="252"/>
      <c r="R26" s="252"/>
      <c r="S26" s="252"/>
      <c r="T26" s="252"/>
      <c r="U26" s="252"/>
      <c r="V26" s="252"/>
      <c r="W26" s="252"/>
      <c r="X26" s="252"/>
    </row>
    <row r="27" spans="1:25" s="21" customFormat="1" ht="6" customHeight="1" x14ac:dyDescent="0.2">
      <c r="A27" s="25"/>
      <c r="B27" s="25"/>
      <c r="F27" s="23"/>
      <c r="G27" s="23"/>
      <c r="H27" s="23"/>
    </row>
    <row r="28" spans="1:25" ht="12.75" customHeight="1" x14ac:dyDescent="0.2">
      <c r="A28" s="239" t="s">
        <v>178</v>
      </c>
      <c r="B28" s="241"/>
      <c r="C28" s="239" t="s">
        <v>171</v>
      </c>
      <c r="D28" s="240"/>
      <c r="E28" s="241"/>
      <c r="F28" s="239" t="s">
        <v>172</v>
      </c>
      <c r="G28" s="240"/>
      <c r="H28" s="240"/>
      <c r="I28" s="241"/>
      <c r="J28" s="239" t="s">
        <v>173</v>
      </c>
      <c r="K28" s="240"/>
      <c r="L28" s="240"/>
      <c r="M28" s="240"/>
      <c r="N28" s="240"/>
      <c r="O28" s="241"/>
      <c r="P28" s="239" t="s">
        <v>0</v>
      </c>
      <c r="Q28" s="240"/>
      <c r="R28" s="240"/>
      <c r="S28" s="240"/>
      <c r="T28" s="240"/>
      <c r="U28" s="240"/>
      <c r="V28" s="240"/>
      <c r="W28" s="240"/>
      <c r="X28" s="241"/>
    </row>
    <row r="29" spans="1:25" ht="12.75" customHeight="1" x14ac:dyDescent="0.2">
      <c r="A29" s="242" t="s">
        <v>277</v>
      </c>
      <c r="B29" s="246"/>
      <c r="C29" s="242" t="s">
        <v>242</v>
      </c>
      <c r="D29" s="243"/>
      <c r="E29" s="244"/>
      <c r="F29" s="247" t="s">
        <v>46</v>
      </c>
      <c r="G29" s="245"/>
      <c r="H29" s="245"/>
      <c r="I29" s="246"/>
      <c r="J29" s="247" t="s">
        <v>46</v>
      </c>
      <c r="K29" s="245"/>
      <c r="L29" s="245"/>
      <c r="M29" s="245"/>
      <c r="N29" s="245"/>
      <c r="O29" s="246"/>
      <c r="P29" s="242" t="s">
        <v>244</v>
      </c>
      <c r="Q29" s="245"/>
      <c r="R29" s="245"/>
      <c r="S29" s="245"/>
      <c r="T29" s="245"/>
      <c r="U29" s="245"/>
      <c r="V29" s="245"/>
      <c r="W29" s="245"/>
      <c r="X29" s="246"/>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39" t="s">
        <v>174</v>
      </c>
      <c r="B31" s="240"/>
      <c r="C31" s="240"/>
      <c r="D31" s="240"/>
      <c r="E31" s="240"/>
      <c r="F31" s="241"/>
      <c r="G31" s="239" t="s">
        <v>175</v>
      </c>
      <c r="H31" s="240"/>
      <c r="I31" s="240"/>
      <c r="J31" s="241"/>
      <c r="K31" s="239" t="s">
        <v>176</v>
      </c>
      <c r="L31" s="240"/>
      <c r="M31" s="240"/>
      <c r="N31" s="240"/>
      <c r="O31" s="240"/>
      <c r="P31" s="241"/>
      <c r="Q31" s="239" t="s">
        <v>181</v>
      </c>
      <c r="R31" s="240"/>
      <c r="S31" s="240"/>
      <c r="T31" s="240"/>
      <c r="U31" s="240"/>
      <c r="V31" s="240"/>
      <c r="W31" s="240"/>
      <c r="X31" s="241"/>
    </row>
    <row r="32" spans="1:25" x14ac:dyDescent="0.2">
      <c r="A32" s="248" t="s">
        <v>236</v>
      </c>
      <c r="B32" s="249"/>
      <c r="C32" s="249"/>
      <c r="D32" s="249"/>
      <c r="E32" s="249"/>
      <c r="F32" s="250"/>
      <c r="G32" s="242" t="s">
        <v>237</v>
      </c>
      <c r="H32" s="243"/>
      <c r="I32" s="243"/>
      <c r="J32" s="244"/>
      <c r="K32" s="242" t="s">
        <v>243</v>
      </c>
      <c r="L32" s="245"/>
      <c r="M32" s="245"/>
      <c r="N32" s="245"/>
      <c r="O32" s="245"/>
      <c r="P32" s="246"/>
      <c r="Q32" s="242" t="s">
        <v>245</v>
      </c>
      <c r="R32" s="245"/>
      <c r="S32" s="245"/>
      <c r="T32" s="245"/>
      <c r="U32" s="245"/>
      <c r="V32" s="245"/>
      <c r="W32" s="245"/>
      <c r="X32" s="246"/>
    </row>
    <row r="33" spans="1:24" s="21" customFormat="1" ht="9" customHeight="1" x14ac:dyDescent="0.2">
      <c r="A33" s="22"/>
      <c r="B33" s="22"/>
      <c r="F33" s="23"/>
      <c r="G33" s="23"/>
      <c r="H33" s="23"/>
    </row>
    <row r="34" spans="1:24" s="27" customFormat="1" x14ac:dyDescent="0.2"/>
    <row r="35" spans="1:24" s="21" customFormat="1" ht="12.75" customHeight="1" x14ac:dyDescent="0.2">
      <c r="A35" s="251" t="s">
        <v>193</v>
      </c>
      <c r="B35" s="251"/>
      <c r="C35" s="252"/>
      <c r="D35" s="252"/>
      <c r="E35" s="252"/>
      <c r="F35" s="252"/>
      <c r="G35" s="252"/>
      <c r="H35" s="252"/>
      <c r="I35" s="252"/>
      <c r="J35" s="252"/>
      <c r="K35" s="252"/>
      <c r="L35" s="252"/>
      <c r="M35" s="252"/>
      <c r="N35" s="252"/>
      <c r="O35" s="252"/>
      <c r="P35" s="252"/>
      <c r="Q35" s="252"/>
      <c r="R35" s="252"/>
      <c r="S35" s="252"/>
      <c r="T35" s="252"/>
      <c r="U35" s="252"/>
      <c r="V35" s="252"/>
      <c r="W35" s="252"/>
      <c r="X35" s="252"/>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39" t="s">
        <v>16</v>
      </c>
      <c r="B37" s="241"/>
      <c r="C37" s="92" t="s">
        <v>91</v>
      </c>
      <c r="D37" s="239" t="s">
        <v>14</v>
      </c>
      <c r="E37" s="240"/>
      <c r="F37" s="241"/>
      <c r="G37" s="239" t="s">
        <v>12</v>
      </c>
      <c r="H37" s="240"/>
      <c r="I37" s="240"/>
      <c r="J37" s="240"/>
      <c r="K37" s="240"/>
      <c r="L37" s="240"/>
      <c r="M37" s="240"/>
      <c r="N37" s="240"/>
      <c r="O37" s="240"/>
      <c r="P37" s="240"/>
      <c r="Q37" s="240"/>
      <c r="R37" s="240"/>
      <c r="S37" s="241"/>
      <c r="T37" s="93" t="s">
        <v>7</v>
      </c>
      <c r="U37" s="93" t="s">
        <v>8</v>
      </c>
      <c r="V37" s="93" t="s">
        <v>9</v>
      </c>
      <c r="W37" s="93" t="s">
        <v>10</v>
      </c>
      <c r="X37" s="93" t="s">
        <v>11</v>
      </c>
    </row>
    <row r="38" spans="1:24" s="21" customFormat="1" ht="12.75" customHeight="1" x14ac:dyDescent="0.2">
      <c r="A38" s="275">
        <v>44835</v>
      </c>
      <c r="B38" s="276"/>
      <c r="C38" s="91" t="s">
        <v>230</v>
      </c>
      <c r="D38" s="242" t="s">
        <v>135</v>
      </c>
      <c r="E38" s="243"/>
      <c r="F38" s="244"/>
      <c r="G38" s="242" t="s">
        <v>245</v>
      </c>
      <c r="H38" s="243"/>
      <c r="I38" s="243"/>
      <c r="J38" s="243"/>
      <c r="K38" s="243"/>
      <c r="L38" s="243"/>
      <c r="M38" s="243"/>
      <c r="N38" s="243"/>
      <c r="O38" s="243"/>
      <c r="P38" s="243"/>
      <c r="Q38" s="243"/>
      <c r="R38" s="243"/>
      <c r="S38" s="244"/>
      <c r="T38" s="95">
        <f ca="1">IF(ISERROR(INDIRECT("'BDI ("&amp;RIGHT(T37,1)&amp;")'!N27")),"",INDIRECT("'BDI ("&amp;RIGHT(T37,1)&amp;")'!N27"))</f>
        <v>0.28599999999999998</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51" t="s">
        <v>163</v>
      </c>
      <c r="B40" s="251"/>
      <c r="C40" s="252"/>
      <c r="D40" s="252"/>
      <c r="E40" s="252"/>
      <c r="F40" s="252"/>
      <c r="G40" s="252"/>
      <c r="H40" s="252"/>
      <c r="I40" s="252"/>
      <c r="J40" s="252"/>
      <c r="K40" s="252"/>
      <c r="L40" s="252"/>
      <c r="M40" s="252"/>
      <c r="N40" s="252"/>
      <c r="O40" s="252"/>
      <c r="P40" s="252"/>
      <c r="Q40" s="252"/>
      <c r="R40" s="252"/>
      <c r="S40" s="252"/>
      <c r="T40" s="252"/>
      <c r="U40" s="252"/>
      <c r="V40" s="252"/>
      <c r="W40" s="252"/>
      <c r="X40" s="252"/>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39" t="s">
        <v>87</v>
      </c>
      <c r="B42" s="241"/>
      <c r="C42" s="239" t="s">
        <v>112</v>
      </c>
      <c r="D42" s="240"/>
      <c r="E42" s="240"/>
      <c r="F42" s="240"/>
      <c r="G42" s="240"/>
      <c r="H42" s="239" t="s">
        <v>16</v>
      </c>
      <c r="I42" s="240"/>
      <c r="J42" s="28" t="s">
        <v>91</v>
      </c>
      <c r="K42" s="239" t="s">
        <v>88</v>
      </c>
      <c r="L42" s="240"/>
      <c r="M42" s="241"/>
      <c r="N42" s="28" t="s">
        <v>92</v>
      </c>
      <c r="O42" s="239" t="s">
        <v>93</v>
      </c>
      <c r="P42" s="240"/>
      <c r="Q42" s="240"/>
      <c r="R42" s="240"/>
      <c r="S42" s="240"/>
      <c r="T42" s="241"/>
      <c r="U42" s="295" t="s">
        <v>89</v>
      </c>
      <c r="V42" s="296"/>
      <c r="W42" s="295" t="s">
        <v>90</v>
      </c>
      <c r="X42" s="296"/>
    </row>
    <row r="43" spans="1:24" s="21" customFormat="1" ht="12.75" customHeight="1" x14ac:dyDescent="0.2">
      <c r="A43" s="248"/>
      <c r="B43" s="310"/>
      <c r="C43" s="242"/>
      <c r="D43" s="243"/>
      <c r="E43" s="243"/>
      <c r="F43" s="243"/>
      <c r="G43" s="243"/>
      <c r="H43" s="275"/>
      <c r="I43" s="276"/>
      <c r="J43" s="88"/>
      <c r="K43" s="253"/>
      <c r="L43" s="254"/>
      <c r="M43" s="255"/>
      <c r="N43" s="104"/>
      <c r="O43" s="299"/>
      <c r="P43" s="300"/>
      <c r="Q43" s="300"/>
      <c r="R43" s="301"/>
      <c r="S43" s="301"/>
      <c r="T43" s="302"/>
      <c r="U43" s="297"/>
      <c r="V43" s="303"/>
      <c r="W43" s="297"/>
      <c r="X43" s="298"/>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51" t="s">
        <v>194</v>
      </c>
      <c r="B45" s="251"/>
      <c r="C45" s="252"/>
      <c r="D45" s="252"/>
      <c r="E45" s="252"/>
      <c r="F45" s="252"/>
      <c r="G45" s="252"/>
      <c r="H45" s="252"/>
      <c r="I45" s="252"/>
      <c r="J45" s="252"/>
      <c r="K45" s="252"/>
      <c r="L45" s="252"/>
      <c r="M45" s="252"/>
      <c r="N45" s="252"/>
      <c r="O45" s="252"/>
      <c r="P45" s="252"/>
      <c r="Q45" s="252"/>
      <c r="R45" s="252"/>
      <c r="S45" s="252"/>
      <c r="T45" s="252"/>
      <c r="U45" s="252"/>
      <c r="V45" s="252"/>
      <c r="W45" s="252"/>
      <c r="X45" s="252"/>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79">
        <v>45017</v>
      </c>
      <c r="B48" s="280"/>
      <c r="C48" s="281"/>
      <c r="E48" s="37"/>
    </row>
    <row r="49" spans="1:24" s="21" customFormat="1" x14ac:dyDescent="0.2">
      <c r="A49" s="22"/>
      <c r="B49" s="22"/>
      <c r="F49" s="33"/>
      <c r="G49" s="34"/>
      <c r="H49" s="35"/>
    </row>
    <row r="50" spans="1:24" s="21" customFormat="1" x14ac:dyDescent="0.2">
      <c r="A50" s="251" t="s">
        <v>195</v>
      </c>
      <c r="B50" s="251"/>
      <c r="C50" s="252"/>
      <c r="D50" s="252"/>
      <c r="E50" s="252"/>
      <c r="F50" s="252"/>
      <c r="G50" s="252"/>
      <c r="H50" s="252"/>
      <c r="I50" s="252"/>
      <c r="J50" s="252"/>
      <c r="K50" s="252"/>
      <c r="L50" s="252"/>
      <c r="M50" s="252"/>
      <c r="N50" s="252"/>
      <c r="O50" s="252"/>
      <c r="P50" s="252"/>
      <c r="Q50" s="252"/>
      <c r="R50" s="252"/>
      <c r="S50" s="252"/>
      <c r="T50" s="252"/>
      <c r="U50" s="252"/>
      <c r="V50" s="252"/>
      <c r="W50" s="252"/>
      <c r="X50" s="252"/>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104</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141</v>
      </c>
      <c r="B54" s="283"/>
      <c r="C54" s="283"/>
      <c r="D54" s="283"/>
      <c r="E54" s="283"/>
      <c r="F54" s="33"/>
      <c r="G54" s="101" t="s">
        <v>141</v>
      </c>
      <c r="H54" s="286"/>
      <c r="I54" s="287"/>
      <c r="J54" s="287"/>
      <c r="K54" s="287"/>
      <c r="L54" s="2"/>
      <c r="M54"/>
      <c r="N54"/>
      <c r="O54"/>
      <c r="P54"/>
      <c r="Q54"/>
      <c r="R54"/>
      <c r="S54"/>
      <c r="T54"/>
      <c r="U54"/>
      <c r="V54"/>
      <c r="W54"/>
      <c r="X54"/>
    </row>
    <row r="55" spans="1:24" s="21" customFormat="1" x14ac:dyDescent="0.2">
      <c r="A55" s="101" t="str">
        <f>IF(OR(TipoOrçamento="BASE",TipoOrçamento="REPROGRAMADONPL"),"Título:","Cargo:")</f>
        <v>Cargo:</v>
      </c>
      <c r="B55" s="286"/>
      <c r="C55" s="286"/>
      <c r="D55" s="286"/>
      <c r="E55" s="286"/>
      <c r="F55" s="33"/>
      <c r="G55" s="101" t="str">
        <f>A55</f>
        <v>Cargo:</v>
      </c>
      <c r="H55" s="286"/>
      <c r="I55" s="287"/>
      <c r="J55" s="287"/>
      <c r="K55" s="287"/>
      <c r="L55" s="2"/>
      <c r="M55"/>
      <c r="N55"/>
      <c r="O55"/>
      <c r="P55"/>
      <c r="Q55"/>
      <c r="R55"/>
      <c r="S55"/>
      <c r="T55"/>
      <c r="U55"/>
      <c r="V55"/>
      <c r="W55"/>
      <c r="X55"/>
    </row>
    <row r="56" spans="1:24" s="21" customFormat="1" x14ac:dyDescent="0.2">
      <c r="A56" s="101" t="str">
        <f>IF(OR(TipoOrçamento="BASE",TipoOrçamento="REPROGRAMADONPL"),"CREA/CAU:","Empresa:")</f>
        <v>Empresa:</v>
      </c>
      <c r="B56" s="290"/>
      <c r="C56" s="290"/>
      <c r="D56" s="290"/>
      <c r="E56" s="290"/>
      <c r="F56" s="33"/>
      <c r="G56" s="101" t="str">
        <f>A56</f>
        <v>Empresa:</v>
      </c>
      <c r="H56" s="290"/>
      <c r="I56" s="282"/>
      <c r="J56" s="282"/>
      <c r="K56" s="282"/>
      <c r="L56" s="2"/>
      <c r="M56"/>
      <c r="N56"/>
      <c r="O56"/>
      <c r="P56"/>
      <c r="Q56"/>
      <c r="R56"/>
      <c r="S56"/>
      <c r="T56"/>
      <c r="U56"/>
      <c r="V56"/>
      <c r="W56"/>
      <c r="X56"/>
    </row>
    <row r="57" spans="1:24" s="21" customFormat="1" x14ac:dyDescent="0.2">
      <c r="A57" s="101" t="str">
        <f>IF(OR(TipoOrçamento="BASE",TipoOrçamento="REPROGRAMADONPL"),"ART/RRT:","CNPJ:")</f>
        <v>CNPJ:</v>
      </c>
      <c r="B57" s="290"/>
      <c r="C57" s="282"/>
      <c r="D57" s="282"/>
      <c r="E57" s="282"/>
      <c r="F57" s="33"/>
      <c r="G57" s="101" t="str">
        <f>A57</f>
        <v>CNPJ:</v>
      </c>
      <c r="H57" s="282"/>
      <c r="I57" s="282"/>
      <c r="J57" s="282"/>
      <c r="K57" s="282"/>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84" t="s">
        <v>196</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88" t="s">
        <v>197</v>
      </c>
      <c r="B62" s="311"/>
      <c r="C62" s="312"/>
      <c r="D62" s="312"/>
      <c r="E62" s="312"/>
      <c r="F62" s="312"/>
      <c r="G62" s="312"/>
      <c r="H62" s="312"/>
      <c r="I62" s="312"/>
      <c r="J62" s="312"/>
      <c r="K62" s="312"/>
      <c r="L62" s="312"/>
      <c r="M62" s="312"/>
      <c r="N62" s="312"/>
      <c r="O62" s="312"/>
      <c r="P62" s="312"/>
      <c r="Q62" s="312"/>
      <c r="R62" s="312"/>
      <c r="S62" s="312"/>
      <c r="T62" s="312"/>
      <c r="U62" s="312"/>
      <c r="V62" s="312"/>
      <c r="W62" s="312"/>
      <c r="X62" s="312"/>
    </row>
    <row r="63" spans="1:24" s="21" customFormat="1" ht="30" customHeight="1" x14ac:dyDescent="0.2">
      <c r="A63" s="288" t="s">
        <v>198</v>
      </c>
      <c r="B63" s="288"/>
      <c r="C63" s="289"/>
      <c r="D63" s="289"/>
      <c r="E63" s="289"/>
      <c r="F63" s="289"/>
      <c r="G63" s="289"/>
      <c r="H63" s="289"/>
      <c r="I63" s="289"/>
      <c r="J63" s="289"/>
      <c r="K63" s="289"/>
      <c r="L63" s="289"/>
      <c r="M63" s="289"/>
      <c r="N63" s="289"/>
      <c r="O63" s="289"/>
      <c r="P63" s="289"/>
      <c r="Q63" s="289"/>
      <c r="R63" s="289"/>
      <c r="S63" s="289"/>
      <c r="T63" s="289"/>
      <c r="U63" s="289"/>
      <c r="V63" s="289"/>
      <c r="W63" s="289"/>
      <c r="X63" s="289"/>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84" t="s">
        <v>199</v>
      </c>
      <c r="B65" s="284"/>
      <c r="C65" s="285"/>
      <c r="D65" s="285"/>
      <c r="E65" s="285"/>
      <c r="F65" s="285"/>
      <c r="G65" s="285"/>
      <c r="H65" s="285"/>
      <c r="I65" s="285"/>
      <c r="J65" s="285"/>
      <c r="K65" s="285"/>
      <c r="L65" s="285"/>
      <c r="M65" s="285"/>
      <c r="N65" s="285"/>
      <c r="O65" s="285"/>
      <c r="P65" s="285"/>
      <c r="Q65" s="285"/>
      <c r="R65" s="285"/>
      <c r="S65" s="285"/>
      <c r="T65" s="285"/>
      <c r="U65" s="285"/>
      <c r="V65" s="285"/>
      <c r="W65" s="285"/>
      <c r="X65" s="285"/>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51" t="s">
        <v>200</v>
      </c>
      <c r="B67" s="251"/>
      <c r="C67" s="252"/>
      <c r="D67" s="252"/>
      <c r="E67" s="252"/>
      <c r="F67" s="252"/>
      <c r="G67" s="252"/>
      <c r="H67" s="252"/>
      <c r="I67" s="252"/>
      <c r="J67" s="252"/>
      <c r="K67" s="252"/>
      <c r="L67" s="252"/>
      <c r="M67" s="252"/>
      <c r="N67" s="252"/>
      <c r="O67" s="252"/>
      <c r="P67" s="252"/>
      <c r="Q67" s="252"/>
      <c r="R67" s="252"/>
      <c r="S67" s="252"/>
      <c r="T67" s="252"/>
      <c r="U67" s="252"/>
      <c r="V67" s="252"/>
      <c r="W67" s="252"/>
      <c r="X67" s="252"/>
    </row>
    <row r="68" spans="1:24" s="21" customFormat="1" x14ac:dyDescent="0.2">
      <c r="A68" s="251" t="s">
        <v>201</v>
      </c>
      <c r="B68" s="251"/>
      <c r="C68" s="252"/>
      <c r="D68" s="252"/>
      <c r="E68" s="252"/>
      <c r="F68" s="252"/>
      <c r="G68" s="252"/>
      <c r="H68" s="252"/>
      <c r="I68" s="252"/>
      <c r="J68" s="252"/>
      <c r="K68" s="252"/>
      <c r="L68" s="252"/>
      <c r="M68" s="252"/>
      <c r="N68" s="252"/>
      <c r="O68" s="252"/>
      <c r="P68" s="252"/>
      <c r="Q68" s="252"/>
      <c r="R68" s="252"/>
      <c r="S68" s="252"/>
      <c r="T68" s="252"/>
      <c r="U68" s="252"/>
      <c r="V68" s="252"/>
      <c r="W68" s="252"/>
      <c r="X68" s="252"/>
    </row>
    <row r="69" spans="1:24" s="21" customFormat="1" ht="12.75" customHeight="1" x14ac:dyDescent="0.2">
      <c r="A69" s="251" t="s">
        <v>202</v>
      </c>
      <c r="B69" s="251"/>
      <c r="C69" s="252"/>
      <c r="D69" s="252"/>
      <c r="E69" s="252"/>
      <c r="F69" s="252"/>
      <c r="G69" s="252"/>
      <c r="H69" s="252"/>
      <c r="I69" s="252"/>
      <c r="J69" s="252"/>
      <c r="K69" s="252"/>
      <c r="L69" s="252"/>
      <c r="M69" s="252"/>
      <c r="N69" s="252"/>
      <c r="O69" s="252"/>
      <c r="P69" s="252"/>
      <c r="Q69" s="252"/>
      <c r="R69" s="252"/>
      <c r="S69" s="252"/>
      <c r="T69" s="252"/>
      <c r="U69" s="252"/>
      <c r="V69" s="252"/>
      <c r="W69" s="252"/>
      <c r="X69" s="252"/>
    </row>
    <row r="70" spans="1:24" s="21" customFormat="1" ht="12.75" customHeight="1" x14ac:dyDescent="0.2">
      <c r="A70" s="251" t="s">
        <v>203</v>
      </c>
      <c r="B70" s="251"/>
      <c r="C70" s="252"/>
      <c r="D70" s="252"/>
      <c r="E70" s="252"/>
      <c r="F70" s="252"/>
      <c r="G70" s="252"/>
      <c r="H70" s="252"/>
      <c r="I70" s="252"/>
      <c r="J70" s="252"/>
      <c r="K70" s="252"/>
      <c r="L70" s="252"/>
      <c r="M70" s="252"/>
      <c r="N70" s="252"/>
      <c r="O70" s="252"/>
      <c r="P70" s="252"/>
      <c r="Q70" s="252"/>
      <c r="R70" s="252"/>
      <c r="S70" s="252"/>
      <c r="T70" s="252"/>
      <c r="U70" s="252"/>
      <c r="V70" s="252"/>
      <c r="W70" s="252"/>
      <c r="X70" s="252"/>
    </row>
    <row r="71" spans="1:24" s="21" customFormat="1" ht="12.75" customHeight="1" x14ac:dyDescent="0.2">
      <c r="A71" s="251" t="s">
        <v>204</v>
      </c>
      <c r="B71" s="251"/>
      <c r="C71" s="252"/>
      <c r="D71" s="252"/>
      <c r="E71" s="252"/>
      <c r="F71" s="252"/>
      <c r="G71" s="252"/>
      <c r="H71" s="252"/>
      <c r="I71" s="252"/>
      <c r="J71" s="252"/>
      <c r="K71" s="252"/>
      <c r="L71" s="252"/>
      <c r="M71" s="252"/>
      <c r="N71" s="252"/>
      <c r="O71" s="252"/>
      <c r="P71" s="252"/>
      <c r="Q71" s="252"/>
      <c r="R71" s="252"/>
      <c r="S71" s="252"/>
      <c r="T71" s="252"/>
      <c r="U71" s="252"/>
      <c r="V71" s="252"/>
      <c r="W71" s="252"/>
      <c r="X71" s="252"/>
    </row>
    <row r="72" spans="1:24" s="21" customFormat="1" ht="12.75" customHeight="1" x14ac:dyDescent="0.2">
      <c r="A72" s="251" t="s">
        <v>205</v>
      </c>
      <c r="B72" s="251"/>
      <c r="C72" s="252"/>
      <c r="D72" s="252"/>
      <c r="E72" s="252"/>
      <c r="F72" s="252"/>
      <c r="G72" s="252"/>
      <c r="H72" s="252"/>
      <c r="I72" s="252"/>
      <c r="J72" s="252"/>
      <c r="K72" s="252"/>
      <c r="L72" s="252"/>
      <c r="M72" s="252"/>
      <c r="N72" s="252"/>
      <c r="O72" s="252"/>
      <c r="P72" s="252"/>
      <c r="Q72" s="252"/>
      <c r="R72" s="252"/>
      <c r="S72" s="252"/>
      <c r="T72" s="252"/>
      <c r="U72" s="252"/>
      <c r="V72" s="252"/>
      <c r="W72" s="252"/>
      <c r="X72" s="252"/>
    </row>
    <row r="73" spans="1:24" s="21" customFormat="1" x14ac:dyDescent="0.2">
      <c r="A73" s="22"/>
      <c r="B73" s="22"/>
      <c r="F73" s="33"/>
      <c r="G73" s="34"/>
      <c r="H73" s="35"/>
    </row>
    <row r="74" spans="1:24" s="21" customFormat="1" ht="12.75" customHeight="1" x14ac:dyDescent="0.2">
      <c r="A74" s="284" t="s">
        <v>206</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51" t="s">
        <v>207</v>
      </c>
      <c r="B76" s="251"/>
      <c r="C76" s="252"/>
      <c r="D76" s="252"/>
      <c r="E76" s="252"/>
      <c r="F76" s="252"/>
      <c r="G76" s="252"/>
      <c r="H76" s="252"/>
      <c r="I76" s="252"/>
      <c r="J76" s="252"/>
      <c r="K76" s="252"/>
      <c r="L76" s="252"/>
      <c r="M76" s="252"/>
      <c r="N76" s="252"/>
      <c r="O76" s="252"/>
      <c r="P76" s="252"/>
      <c r="Q76" s="252"/>
      <c r="R76" s="252"/>
      <c r="S76" s="252"/>
      <c r="T76" s="252"/>
      <c r="U76" s="252"/>
      <c r="V76" s="252"/>
      <c r="W76" s="252"/>
      <c r="X76" s="252"/>
    </row>
    <row r="77" spans="1:24" s="21" customFormat="1" ht="26.1" customHeight="1" x14ac:dyDescent="0.2">
      <c r="A77" s="262" t="s">
        <v>208</v>
      </c>
      <c r="B77" s="262"/>
      <c r="C77" s="263"/>
      <c r="D77" s="263"/>
      <c r="E77" s="263"/>
      <c r="F77" s="263"/>
      <c r="G77" s="263"/>
      <c r="H77" s="263"/>
      <c r="I77" s="263"/>
      <c r="J77" s="263"/>
      <c r="K77" s="263"/>
      <c r="L77" s="263"/>
      <c r="M77" s="263"/>
      <c r="N77" s="263"/>
      <c r="O77" s="263"/>
      <c r="P77" s="263"/>
      <c r="Q77" s="263"/>
      <c r="R77" s="263"/>
      <c r="S77" s="263"/>
      <c r="T77" s="263"/>
      <c r="U77" s="263"/>
      <c r="V77" s="263"/>
      <c r="W77" s="263"/>
      <c r="X77" s="263"/>
    </row>
    <row r="78" spans="1:24" s="21" customFormat="1" ht="12.75" customHeight="1" x14ac:dyDescent="0.2">
      <c r="A78" s="251" t="s">
        <v>209</v>
      </c>
      <c r="B78" s="251"/>
      <c r="C78" s="252"/>
      <c r="D78" s="252"/>
      <c r="E78" s="252"/>
      <c r="F78" s="252"/>
      <c r="G78" s="252"/>
      <c r="H78" s="252"/>
      <c r="I78" s="252"/>
      <c r="J78" s="252"/>
      <c r="K78" s="252"/>
      <c r="L78" s="252"/>
      <c r="M78" s="252"/>
      <c r="N78" s="252"/>
      <c r="O78" s="252"/>
      <c r="P78" s="252"/>
      <c r="Q78" s="252"/>
      <c r="R78" s="252"/>
      <c r="S78" s="252"/>
      <c r="T78" s="252"/>
      <c r="U78" s="252"/>
      <c r="V78" s="252"/>
      <c r="W78" s="252"/>
      <c r="X78" s="252"/>
    </row>
    <row r="79" spans="1:24" s="21" customFormat="1" ht="25.5" customHeight="1" x14ac:dyDescent="0.2">
      <c r="A79" s="251" t="s">
        <v>210</v>
      </c>
      <c r="B79" s="251"/>
      <c r="C79" s="252"/>
      <c r="D79" s="252"/>
      <c r="E79" s="252"/>
      <c r="F79" s="252"/>
      <c r="G79" s="252"/>
      <c r="H79" s="252"/>
      <c r="I79" s="252"/>
      <c r="J79" s="252"/>
      <c r="K79" s="252"/>
      <c r="L79" s="252"/>
      <c r="M79" s="252"/>
      <c r="N79" s="252"/>
      <c r="O79" s="252"/>
      <c r="P79" s="252"/>
      <c r="Q79" s="252"/>
      <c r="R79" s="252"/>
      <c r="S79" s="252"/>
      <c r="T79" s="252"/>
      <c r="U79" s="252"/>
      <c r="V79" s="252"/>
      <c r="W79" s="252"/>
      <c r="X79" s="252"/>
    </row>
    <row r="80" spans="1:24" s="21" customFormat="1" x14ac:dyDescent="0.2">
      <c r="A80" s="262" t="s">
        <v>211</v>
      </c>
      <c r="B80" s="262"/>
      <c r="C80" s="263"/>
      <c r="D80" s="263"/>
      <c r="E80" s="263"/>
      <c r="F80" s="263"/>
      <c r="G80" s="263"/>
      <c r="H80" s="263"/>
      <c r="I80" s="263"/>
      <c r="J80" s="263"/>
      <c r="K80" s="263"/>
      <c r="L80" s="263"/>
      <c r="M80" s="263"/>
      <c r="N80" s="263"/>
      <c r="O80" s="263"/>
      <c r="P80" s="263"/>
      <c r="Q80" s="263"/>
      <c r="R80" s="263"/>
      <c r="S80" s="263"/>
      <c r="T80" s="263"/>
      <c r="U80" s="263"/>
      <c r="V80" s="263"/>
      <c r="W80" s="263"/>
      <c r="X80" s="263"/>
    </row>
    <row r="81" spans="1:24" ht="12.75" customHeight="1" x14ac:dyDescent="0.2">
      <c r="A81" s="251" t="s">
        <v>212</v>
      </c>
      <c r="B81" s="251"/>
      <c r="C81" s="252"/>
      <c r="D81" s="252"/>
      <c r="E81" s="252"/>
      <c r="F81" s="252"/>
      <c r="G81" s="252"/>
      <c r="H81" s="252"/>
      <c r="I81" s="252"/>
      <c r="J81" s="252"/>
      <c r="K81" s="252"/>
      <c r="L81" s="252"/>
      <c r="M81" s="252"/>
      <c r="N81" s="252"/>
      <c r="O81" s="252"/>
      <c r="P81" s="252"/>
      <c r="Q81" s="252"/>
      <c r="R81" s="252"/>
      <c r="S81" s="252"/>
      <c r="T81" s="252"/>
      <c r="U81" s="252"/>
      <c r="V81" s="252"/>
      <c r="W81" s="252"/>
      <c r="X81" s="252"/>
    </row>
    <row r="82" spans="1:24" ht="26.1" customHeight="1" x14ac:dyDescent="0.2">
      <c r="A82" s="251" t="s">
        <v>213</v>
      </c>
      <c r="B82" s="251"/>
      <c r="C82" s="252"/>
      <c r="D82" s="252"/>
      <c r="E82" s="252"/>
      <c r="F82" s="252"/>
      <c r="G82" s="252"/>
      <c r="H82" s="252"/>
      <c r="I82" s="252"/>
      <c r="J82" s="252"/>
      <c r="K82" s="252"/>
      <c r="L82" s="252"/>
      <c r="M82" s="252"/>
      <c r="N82" s="252"/>
      <c r="O82" s="252"/>
      <c r="P82" s="252"/>
      <c r="Q82" s="252"/>
      <c r="R82" s="252"/>
      <c r="S82" s="252"/>
      <c r="T82" s="252"/>
      <c r="U82" s="252"/>
      <c r="V82" s="252"/>
      <c r="W82" s="252"/>
      <c r="X82" s="252"/>
    </row>
    <row r="83" spans="1:24" s="21" customFormat="1" ht="26.1" customHeight="1" x14ac:dyDescent="0.2">
      <c r="A83" s="251" t="s">
        <v>214</v>
      </c>
      <c r="B83" s="251"/>
      <c r="C83" s="252"/>
      <c r="D83" s="252"/>
      <c r="E83" s="252"/>
      <c r="F83" s="252"/>
      <c r="G83" s="252"/>
      <c r="H83" s="252"/>
      <c r="I83" s="252"/>
      <c r="J83" s="252"/>
      <c r="K83" s="252"/>
      <c r="L83" s="252"/>
      <c r="M83" s="252"/>
      <c r="N83" s="252"/>
      <c r="O83" s="252"/>
      <c r="P83" s="252"/>
      <c r="Q83" s="252"/>
      <c r="R83" s="252"/>
      <c r="S83" s="252"/>
      <c r="T83" s="252"/>
      <c r="U83" s="252"/>
      <c r="V83" s="252"/>
      <c r="W83" s="252"/>
      <c r="X83" s="252"/>
    </row>
    <row r="84" spans="1:24" s="21" customFormat="1" ht="12.75" customHeight="1" x14ac:dyDescent="0.2">
      <c r="A84" s="251" t="s">
        <v>215</v>
      </c>
      <c r="B84" s="251"/>
      <c r="C84" s="252"/>
      <c r="D84" s="252"/>
      <c r="E84" s="252"/>
      <c r="F84" s="252"/>
      <c r="G84" s="252"/>
      <c r="H84" s="252"/>
      <c r="I84" s="252"/>
      <c r="J84" s="252"/>
      <c r="K84" s="252"/>
      <c r="L84" s="252"/>
      <c r="M84" s="252"/>
      <c r="N84" s="252"/>
      <c r="O84" s="252"/>
      <c r="P84" s="252"/>
      <c r="Q84" s="252"/>
      <c r="R84" s="252"/>
      <c r="S84" s="252"/>
      <c r="T84" s="252"/>
      <c r="U84" s="252"/>
      <c r="V84" s="252"/>
      <c r="W84" s="252"/>
      <c r="X84" s="252"/>
    </row>
    <row r="85" spans="1:24" s="21" customFormat="1" x14ac:dyDescent="0.2">
      <c r="A85" s="251" t="s">
        <v>216</v>
      </c>
      <c r="B85" s="251"/>
      <c r="C85" s="252"/>
      <c r="D85" s="252"/>
      <c r="E85" s="252"/>
      <c r="F85" s="252"/>
      <c r="G85" s="252"/>
      <c r="H85" s="252"/>
      <c r="I85" s="252"/>
      <c r="J85" s="252"/>
      <c r="K85" s="252"/>
      <c r="L85" s="252"/>
      <c r="M85" s="252"/>
      <c r="N85" s="252"/>
      <c r="O85" s="252"/>
      <c r="P85" s="252"/>
      <c r="Q85" s="252"/>
      <c r="R85" s="252"/>
      <c r="S85" s="252"/>
      <c r="T85" s="252"/>
      <c r="U85" s="252"/>
      <c r="V85" s="252"/>
      <c r="W85" s="252"/>
      <c r="X85" s="252"/>
    </row>
    <row r="86" spans="1:24" ht="12.75" customHeight="1" x14ac:dyDescent="0.2">
      <c r="A86" s="262" t="s">
        <v>217</v>
      </c>
      <c r="B86" s="262"/>
      <c r="C86" s="263"/>
      <c r="D86" s="263"/>
      <c r="E86" s="263"/>
      <c r="F86" s="263"/>
      <c r="G86" s="263"/>
      <c r="H86" s="263"/>
      <c r="I86" s="263"/>
      <c r="J86" s="263"/>
      <c r="K86" s="263"/>
      <c r="L86" s="263"/>
      <c r="M86" s="263"/>
      <c r="N86" s="263"/>
      <c r="O86" s="263"/>
      <c r="P86" s="263"/>
      <c r="Q86" s="263"/>
      <c r="R86" s="263"/>
      <c r="S86" s="263"/>
      <c r="T86" s="263"/>
      <c r="U86" s="263"/>
      <c r="V86" s="263"/>
      <c r="W86" s="263"/>
      <c r="X86" s="263"/>
    </row>
    <row r="87" spans="1:24" x14ac:dyDescent="0.2">
      <c r="A87" s="251" t="s">
        <v>218</v>
      </c>
      <c r="B87" s="251"/>
      <c r="C87" s="252"/>
      <c r="D87" s="252"/>
      <c r="E87" s="252"/>
      <c r="F87" s="252"/>
      <c r="G87" s="252"/>
      <c r="H87" s="252"/>
      <c r="I87" s="252"/>
      <c r="J87" s="252"/>
      <c r="K87" s="252"/>
      <c r="L87" s="252"/>
      <c r="M87" s="252"/>
      <c r="N87" s="252"/>
      <c r="O87" s="252"/>
      <c r="P87" s="252"/>
      <c r="Q87" s="252"/>
      <c r="R87" s="252"/>
      <c r="S87" s="252"/>
      <c r="T87" s="252"/>
      <c r="U87" s="252"/>
      <c r="V87" s="252"/>
      <c r="W87" s="252"/>
      <c r="X87" s="252"/>
    </row>
    <row r="88" spans="1:24" x14ac:dyDescent="0.2">
      <c r="A88" s="251" t="s">
        <v>219</v>
      </c>
      <c r="B88" s="251"/>
      <c r="C88" s="252"/>
      <c r="D88" s="252"/>
      <c r="E88" s="252"/>
      <c r="F88" s="252"/>
      <c r="G88" s="252"/>
      <c r="H88" s="252"/>
      <c r="I88" s="252"/>
      <c r="J88" s="252"/>
      <c r="K88" s="252"/>
      <c r="L88" s="252"/>
      <c r="M88" s="252"/>
      <c r="N88" s="252"/>
      <c r="O88" s="252"/>
      <c r="P88" s="252"/>
      <c r="Q88" s="252"/>
      <c r="R88" s="252"/>
      <c r="S88" s="252"/>
      <c r="T88" s="252"/>
      <c r="U88" s="252"/>
      <c r="V88" s="252"/>
      <c r="W88" s="252"/>
      <c r="X88" s="252"/>
    </row>
    <row r="90" spans="1:24" x14ac:dyDescent="0.2">
      <c r="A90" s="284" t="s">
        <v>220</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51" t="s">
        <v>221</v>
      </c>
      <c r="B92" s="251"/>
      <c r="C92" s="252"/>
      <c r="D92" s="252"/>
      <c r="E92" s="252"/>
      <c r="F92" s="252"/>
      <c r="G92" s="252"/>
      <c r="H92" s="252"/>
      <c r="I92" s="252"/>
      <c r="J92" s="252"/>
      <c r="K92" s="252"/>
      <c r="L92" s="252"/>
      <c r="M92" s="252"/>
      <c r="N92" s="252"/>
      <c r="O92" s="252"/>
      <c r="P92" s="252"/>
      <c r="Q92" s="252"/>
      <c r="R92" s="252"/>
      <c r="S92" s="252"/>
      <c r="T92" s="252"/>
      <c r="U92" s="252"/>
      <c r="V92" s="252"/>
      <c r="W92" s="252"/>
      <c r="X92" s="252"/>
    </row>
    <row r="93" spans="1:24" ht="12.75" customHeight="1" x14ac:dyDescent="0.2">
      <c r="A93" s="262" t="s">
        <v>222</v>
      </c>
      <c r="B93" s="262"/>
      <c r="C93" s="263"/>
      <c r="D93" s="263"/>
      <c r="E93" s="263"/>
      <c r="F93" s="263"/>
      <c r="G93" s="263"/>
      <c r="H93" s="263"/>
      <c r="I93" s="263"/>
      <c r="J93" s="263"/>
      <c r="K93" s="263"/>
      <c r="L93" s="263"/>
      <c r="M93" s="263"/>
      <c r="N93" s="263"/>
      <c r="O93" s="263"/>
      <c r="P93" s="263"/>
      <c r="Q93" s="263"/>
      <c r="R93" s="263"/>
      <c r="S93" s="263"/>
      <c r="T93" s="263"/>
      <c r="U93" s="263"/>
      <c r="V93" s="263"/>
      <c r="W93" s="263"/>
      <c r="X93" s="263"/>
    </row>
    <row r="94" spans="1:24" ht="12.75" customHeight="1" x14ac:dyDescent="0.2">
      <c r="A94" s="251" t="s">
        <v>223</v>
      </c>
      <c r="B94" s="251"/>
      <c r="C94" s="252"/>
      <c r="D94" s="252"/>
      <c r="E94" s="252"/>
      <c r="F94" s="252"/>
      <c r="G94" s="252"/>
      <c r="H94" s="252"/>
      <c r="I94" s="252"/>
      <c r="J94" s="252"/>
      <c r="K94" s="252"/>
      <c r="L94" s="252"/>
      <c r="M94" s="252"/>
      <c r="N94" s="252"/>
      <c r="O94" s="252"/>
      <c r="P94" s="252"/>
      <c r="Q94" s="252"/>
      <c r="R94" s="252"/>
      <c r="S94" s="252"/>
      <c r="T94" s="252"/>
      <c r="U94" s="252"/>
      <c r="V94" s="252"/>
      <c r="W94" s="252"/>
      <c r="X94" s="252"/>
    </row>
    <row r="95" spans="1:24" x14ac:dyDescent="0.2">
      <c r="A95" s="251" t="s">
        <v>224</v>
      </c>
      <c r="B95" s="251"/>
      <c r="C95" s="252"/>
      <c r="D95" s="252"/>
      <c r="E95" s="252"/>
      <c r="F95" s="252"/>
      <c r="G95" s="252"/>
      <c r="H95" s="252"/>
      <c r="I95" s="252"/>
      <c r="J95" s="252"/>
      <c r="K95" s="252"/>
      <c r="L95" s="252"/>
      <c r="M95" s="252"/>
      <c r="N95" s="252"/>
      <c r="O95" s="252"/>
      <c r="P95" s="252"/>
      <c r="Q95" s="252"/>
      <c r="R95" s="252"/>
      <c r="S95" s="252"/>
      <c r="T95" s="252"/>
      <c r="U95" s="252"/>
      <c r="V95" s="252"/>
      <c r="W95" s="252"/>
      <c r="X95" s="252"/>
    </row>
    <row r="96" spans="1:24" ht="12.75" customHeight="1" x14ac:dyDescent="0.2">
      <c r="A96" s="262"/>
      <c r="B96" s="262"/>
      <c r="C96" s="263"/>
      <c r="D96" s="263"/>
      <c r="E96" s="263"/>
      <c r="F96" s="263"/>
      <c r="G96" s="263"/>
      <c r="H96" s="263"/>
      <c r="I96" s="263"/>
      <c r="J96" s="263"/>
      <c r="K96" s="263"/>
      <c r="L96" s="263"/>
      <c r="M96" s="263"/>
      <c r="N96" s="263"/>
      <c r="O96" s="263"/>
      <c r="P96" s="263"/>
      <c r="Q96" s="263"/>
      <c r="R96" s="263"/>
      <c r="S96" s="263"/>
      <c r="T96" s="263"/>
      <c r="U96" s="263"/>
      <c r="V96" s="263"/>
      <c r="W96" s="263"/>
      <c r="X96" s="263"/>
    </row>
    <row r="97" spans="1:24" x14ac:dyDescent="0.2">
      <c r="A97" s="284" t="s">
        <v>225</v>
      </c>
      <c r="B97" s="284"/>
      <c r="C97" s="285"/>
      <c r="D97" s="285"/>
      <c r="E97" s="285"/>
      <c r="F97" s="285"/>
      <c r="G97" s="285"/>
      <c r="H97" s="285"/>
      <c r="I97" s="285"/>
      <c r="J97" s="285"/>
      <c r="K97" s="285"/>
      <c r="L97" s="285"/>
      <c r="M97" s="285"/>
      <c r="N97" s="285"/>
      <c r="O97" s="285"/>
      <c r="P97" s="285"/>
      <c r="Q97" s="285"/>
      <c r="R97" s="285"/>
      <c r="S97" s="285"/>
      <c r="T97" s="285"/>
      <c r="U97" s="285"/>
      <c r="V97" s="285"/>
      <c r="W97" s="285"/>
      <c r="X97" s="285"/>
    </row>
    <row r="98" spans="1:24" ht="12.75" customHeight="1" x14ac:dyDescent="0.2">
      <c r="A98" s="262"/>
      <c r="B98" s="262"/>
      <c r="C98" s="263"/>
      <c r="D98" s="263"/>
      <c r="E98" s="263"/>
      <c r="F98" s="263"/>
      <c r="G98" s="263"/>
      <c r="H98" s="263"/>
      <c r="I98" s="263"/>
      <c r="J98" s="263"/>
      <c r="K98" s="263"/>
      <c r="L98" s="263"/>
      <c r="M98" s="263"/>
      <c r="N98" s="263"/>
      <c r="O98" s="263"/>
      <c r="P98" s="263"/>
      <c r="Q98" s="263"/>
      <c r="R98" s="263"/>
      <c r="S98" s="263"/>
      <c r="T98" s="263"/>
      <c r="U98" s="263"/>
      <c r="V98" s="263"/>
      <c r="W98" s="263"/>
      <c r="X98" s="263"/>
    </row>
    <row r="99" spans="1:24" ht="12.75" customHeight="1" x14ac:dyDescent="0.2">
      <c r="A99" s="251" t="s">
        <v>226</v>
      </c>
      <c r="B99" s="251"/>
      <c r="C99" s="252"/>
      <c r="D99" s="252"/>
      <c r="E99" s="252"/>
      <c r="F99" s="252"/>
      <c r="G99" s="252"/>
      <c r="H99" s="252"/>
      <c r="I99" s="252"/>
      <c r="J99" s="252"/>
      <c r="K99" s="252"/>
      <c r="L99" s="252"/>
      <c r="M99" s="252"/>
      <c r="N99" s="252"/>
      <c r="O99" s="252"/>
      <c r="P99" s="252"/>
      <c r="Q99" s="252"/>
      <c r="R99" s="252"/>
      <c r="S99" s="252"/>
      <c r="T99" s="252"/>
      <c r="U99" s="252"/>
      <c r="V99" s="252"/>
      <c r="W99" s="252"/>
      <c r="X99" s="252"/>
    </row>
    <row r="100" spans="1:24" ht="12.75" customHeight="1" x14ac:dyDescent="0.2">
      <c r="A100" s="251" t="s">
        <v>227</v>
      </c>
      <c r="B100" s="251"/>
      <c r="C100" s="252"/>
      <c r="D100" s="252"/>
      <c r="E100" s="252"/>
      <c r="F100" s="252"/>
      <c r="G100" s="252"/>
      <c r="H100" s="252"/>
      <c r="I100" s="252"/>
      <c r="J100" s="252"/>
      <c r="K100" s="252"/>
      <c r="L100" s="252"/>
      <c r="M100" s="252"/>
      <c r="N100" s="252"/>
      <c r="O100" s="252"/>
      <c r="P100" s="252"/>
      <c r="Q100" s="252"/>
      <c r="R100" s="252"/>
      <c r="S100" s="252"/>
      <c r="T100" s="252"/>
      <c r="U100" s="252"/>
      <c r="V100" s="252"/>
      <c r="W100" s="252"/>
      <c r="X100" s="252"/>
    </row>
    <row r="101" spans="1:24" x14ac:dyDescent="0.2">
      <c r="A101" s="251" t="s">
        <v>228</v>
      </c>
      <c r="B101" s="251"/>
      <c r="C101" s="252"/>
      <c r="D101" s="252"/>
      <c r="E101" s="252"/>
      <c r="F101" s="252"/>
      <c r="G101" s="252"/>
      <c r="H101" s="252"/>
      <c r="I101" s="252"/>
      <c r="J101" s="252"/>
      <c r="K101" s="252"/>
      <c r="L101" s="252"/>
      <c r="M101" s="252"/>
      <c r="N101" s="252"/>
      <c r="O101" s="252"/>
      <c r="P101" s="252"/>
      <c r="Q101" s="252"/>
      <c r="R101" s="252"/>
      <c r="S101" s="252"/>
      <c r="T101" s="252"/>
      <c r="U101" s="252"/>
      <c r="V101" s="252"/>
      <c r="W101" s="252"/>
      <c r="X101" s="252"/>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132</v>
      </c>
      <c r="O107" s="82"/>
      <c r="P107" s="38"/>
      <c r="Q107" s="82"/>
    </row>
    <row r="108" spans="1:24" ht="12.75" customHeight="1" x14ac:dyDescent="0.2">
      <c r="A108"/>
      <c r="E108"/>
      <c r="F108"/>
      <c r="G108" s="31"/>
      <c r="H108" s="31"/>
      <c r="L108" s="82" t="s">
        <v>133</v>
      </c>
      <c r="P108" s="31"/>
      <c r="S108" s="208">
        <f ca="1">T38</f>
        <v>0.28599999999999998</v>
      </c>
    </row>
    <row r="109" spans="1:24" x14ac:dyDescent="0.2">
      <c r="A109"/>
      <c r="E109"/>
      <c r="F109"/>
      <c r="G109" s="31"/>
      <c r="H109" s="31"/>
      <c r="L109" s="82" t="s">
        <v>134</v>
      </c>
      <c r="P109" s="31"/>
      <c r="S109" s="208" t="str">
        <f ca="1">U38</f>
        <v/>
      </c>
    </row>
    <row r="110" spans="1:24" ht="12.75" customHeight="1" x14ac:dyDescent="0.2">
      <c r="A110"/>
      <c r="E110"/>
      <c r="F110"/>
      <c r="G110" s="31"/>
      <c r="H110" s="31"/>
      <c r="L110" s="82" t="s">
        <v>135</v>
      </c>
      <c r="P110" s="31"/>
      <c r="S110" s="208" t="str">
        <f ca="1">V38</f>
        <v/>
      </c>
    </row>
    <row r="111" spans="1:24" x14ac:dyDescent="0.2">
      <c r="A111"/>
      <c r="E111"/>
      <c r="F111"/>
      <c r="G111" s="31"/>
      <c r="H111" s="31"/>
      <c r="L111" s="82" t="s">
        <v>136</v>
      </c>
      <c r="P111" s="31"/>
      <c r="S111" s="208" t="str">
        <f ca="1">W38</f>
        <v/>
      </c>
    </row>
    <row r="112" spans="1:24" ht="12.75" customHeight="1" x14ac:dyDescent="0.2">
      <c r="A112"/>
      <c r="E112"/>
      <c r="F112"/>
      <c r="G112" s="31"/>
      <c r="H112" s="31"/>
      <c r="L112" s="82" t="s">
        <v>137</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113</v>
      </c>
    </row>
    <row r="116" spans="1:16" x14ac:dyDescent="0.2">
      <c r="A116"/>
      <c r="H116" s="38"/>
      <c r="L116" s="82" t="s">
        <v>69</v>
      </c>
      <c r="P116" s="1" t="s">
        <v>114</v>
      </c>
    </row>
    <row r="117" spans="1:16" x14ac:dyDescent="0.2">
      <c r="A117"/>
      <c r="L117" s="82" t="s">
        <v>70</v>
      </c>
      <c r="P117" s="1" t="s">
        <v>115</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36" t="str">
        <f>A28</f>
        <v>Nº OPERAÇÃO</v>
      </c>
      <c r="B220" s="238"/>
      <c r="C220" s="236" t="str">
        <f>C28</f>
        <v>GESTOR</v>
      </c>
      <c r="D220" s="237"/>
      <c r="E220" s="238"/>
      <c r="F220" s="236" t="str">
        <f>F28</f>
        <v>PROGRAMA</v>
      </c>
      <c r="G220" s="237"/>
      <c r="H220" s="237"/>
      <c r="I220" s="238"/>
      <c r="J220" s="236" t="str">
        <f>J28</f>
        <v>AÇÃO / MODALIDADE</v>
      </c>
      <c r="K220" s="237"/>
      <c r="L220" s="237"/>
      <c r="M220" s="237"/>
      <c r="N220" s="237"/>
      <c r="O220" s="238"/>
      <c r="P220" s="236" t="str">
        <f>P28</f>
        <v>OBJETO</v>
      </c>
      <c r="Q220" s="237"/>
      <c r="R220" s="237"/>
      <c r="S220" s="237"/>
      <c r="T220" s="237"/>
      <c r="U220" s="237"/>
      <c r="V220" s="237"/>
      <c r="W220" s="237"/>
      <c r="X220" s="238"/>
    </row>
    <row r="221" spans="1:24" ht="12.75" customHeight="1" x14ac:dyDescent="0.2">
      <c r="A221" s="233" t="str">
        <f>IF(A29="","",A29)</f>
        <v>1491003210/2022</v>
      </c>
      <c r="B221" s="235"/>
      <c r="C221" s="233" t="str">
        <f>IF(C29="","",C29)</f>
        <v>Secretaria de Estado de Governo - SEGOV</v>
      </c>
      <c r="D221" s="234"/>
      <c r="E221" s="235"/>
      <c r="F221" s="233" t="str">
        <f>IF(F29="","",F29)</f>
        <v>-</v>
      </c>
      <c r="G221" s="234"/>
      <c r="H221" s="234"/>
      <c r="I221" s="235"/>
      <c r="J221" s="233" t="str">
        <f>IF(J29="","",J29)</f>
        <v>-</v>
      </c>
      <c r="K221" s="234"/>
      <c r="L221" s="234" t="e">
        <f>IF(#REF!="","",#REF!)</f>
        <v>#REF!</v>
      </c>
      <c r="M221" s="234"/>
      <c r="N221" s="234" t="e">
        <f>IF(#REF!="","",#REF!)</f>
        <v>#REF!</v>
      </c>
      <c r="O221" s="235"/>
      <c r="P221" s="233" t="str">
        <f>IF(P29="","",P29)</f>
        <v>Recapeamento asfáltico em CBUQ, execução de linhas de resina acrílica e execução de sarjeta de concreto urbano na Rua Guilhermina Moreira, no Bairro Planalto.</v>
      </c>
      <c r="Q221" s="234"/>
      <c r="R221" s="234"/>
      <c r="S221" s="234"/>
      <c r="T221" s="234"/>
      <c r="U221" s="234"/>
      <c r="V221" s="234"/>
      <c r="W221" s="234"/>
      <c r="X221" s="235"/>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36" t="str">
        <f>A31</f>
        <v>PROPONENTE / TOMADOR</v>
      </c>
      <c r="B223" s="237"/>
      <c r="C223" s="237"/>
      <c r="D223" s="237"/>
      <c r="E223" s="237"/>
      <c r="F223" s="237"/>
      <c r="G223" s="236" t="str">
        <f>G31</f>
        <v>MUNICÍPIO / UF</v>
      </c>
      <c r="H223" s="237"/>
      <c r="I223" s="237"/>
      <c r="J223" s="238"/>
      <c r="K223" s="236" t="str">
        <f>K31</f>
        <v>LOCALIDADE / ENDEREÇO</v>
      </c>
      <c r="L223" s="237"/>
      <c r="M223" s="237"/>
      <c r="N223" s="237"/>
      <c r="O223" s="237"/>
      <c r="P223" s="238"/>
      <c r="Q223" s="236" t="str">
        <f>Q31</f>
        <v>APELIDO DO EMPREENDIMENTO</v>
      </c>
      <c r="R223" s="237"/>
      <c r="S223" s="237"/>
      <c r="T223" s="237"/>
      <c r="U223" s="237"/>
      <c r="V223" s="237"/>
      <c r="W223" s="237"/>
      <c r="X223" s="238"/>
    </row>
    <row r="224" spans="1:24" ht="12.75" customHeight="1" x14ac:dyDescent="0.2">
      <c r="A224" s="271" t="str">
        <f>IF(A32="","",A32)</f>
        <v>Município de Presidente Olegário</v>
      </c>
      <c r="B224" s="272"/>
      <c r="C224" s="272"/>
      <c r="D224" s="272"/>
      <c r="E224" s="272"/>
      <c r="F224" s="272"/>
      <c r="G224" s="233" t="str">
        <f>IF(G32="","",G32)</f>
        <v>Presidente Olegário / MG</v>
      </c>
      <c r="H224" s="234" t="str">
        <f>IF(I32="","",I32)</f>
        <v/>
      </c>
      <c r="I224" s="234"/>
      <c r="J224" s="235" t="e">
        <f>IF(#REF!="","",#REF!)</f>
        <v>#REF!</v>
      </c>
      <c r="K224" s="233" t="str">
        <f>IF(K32="","",K32)</f>
        <v xml:space="preserve">Rua Guilhermina Moreira (trecho entre a Rua Juvenal Correa e a Rua Professor Antônio Secundino) </v>
      </c>
      <c r="L224" s="234"/>
      <c r="M224" s="234"/>
      <c r="N224" s="234"/>
      <c r="O224" s="234"/>
      <c r="P224" s="235"/>
      <c r="Q224" s="233" t="str">
        <f>IF(Q32="","",Q32)</f>
        <v>Recapeamento asfáltico em CBUQ na Rua Guilhemina Moreira</v>
      </c>
      <c r="R224" s="234"/>
      <c r="S224" s="234"/>
      <c r="T224" s="234"/>
      <c r="U224" s="234"/>
      <c r="V224" s="234"/>
      <c r="W224" s="234"/>
      <c r="X224" s="235"/>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36" t="str">
        <f>A37</f>
        <v>DATA BASE</v>
      </c>
      <c r="B226" s="238"/>
      <c r="C226" s="135" t="str">
        <f>C37</f>
        <v>DESON.</v>
      </c>
      <c r="D226" s="236" t="str">
        <f>D37</f>
        <v>LOCALIDADE DO SINAPI</v>
      </c>
      <c r="E226" s="237"/>
      <c r="F226" s="238"/>
      <c r="G226" s="236" t="str">
        <f>G37</f>
        <v>DESCRIÇÃO DO LOTE</v>
      </c>
      <c r="H226" s="237"/>
      <c r="I226" s="237"/>
      <c r="J226" s="237"/>
      <c r="K226" s="237"/>
      <c r="L226" s="237"/>
      <c r="M226" s="237"/>
      <c r="N226" s="237"/>
      <c r="O226" s="237"/>
      <c r="P226" s="237"/>
      <c r="Q226" s="237"/>
      <c r="R226" s="237"/>
      <c r="S226" s="238"/>
      <c r="T226" s="136" t="str">
        <f>T37</f>
        <v>BDI 1</v>
      </c>
      <c r="U226" s="136" t="str">
        <f>U37</f>
        <v>BDI 2</v>
      </c>
      <c r="V226" s="136" t="str">
        <f>V37</f>
        <v>BDI 3</v>
      </c>
      <c r="W226" s="136" t="str">
        <f>W37</f>
        <v>BDI 4</v>
      </c>
      <c r="X226" s="136" t="str">
        <f>X37</f>
        <v>BDI 5</v>
      </c>
    </row>
    <row r="227" spans="1:24" ht="12.75" hidden="1" customHeight="1" x14ac:dyDescent="0.2">
      <c r="A227" s="277">
        <f>IF(A38="","",A38)</f>
        <v>44835</v>
      </c>
      <c r="B227" s="278"/>
      <c r="C227" s="137" t="str">
        <f t="shared" ref="C227:X227" si="0">IF(C38="","",C38)</f>
        <v>Sim</v>
      </c>
      <c r="D227" s="264" t="str">
        <f t="shared" si="0"/>
        <v>Belo Horizonte / MG</v>
      </c>
      <c r="E227" s="268" t="str">
        <f t="shared" si="0"/>
        <v/>
      </c>
      <c r="F227" s="265" t="str">
        <f t="shared" si="0"/>
        <v/>
      </c>
      <c r="G227" s="264" t="str">
        <f t="shared" si="0"/>
        <v>Recapeamento asfáltico em CBUQ na Rua Guilhemina Moreira</v>
      </c>
      <c r="H227" s="268" t="str">
        <f t="shared" si="0"/>
        <v/>
      </c>
      <c r="I227" s="268" t="str">
        <f t="shared" si="0"/>
        <v/>
      </c>
      <c r="J227" s="268" t="str">
        <f t="shared" si="0"/>
        <v/>
      </c>
      <c r="K227" s="268" t="str">
        <f t="shared" si="0"/>
        <v/>
      </c>
      <c r="L227" s="268" t="str">
        <f t="shared" si="0"/>
        <v/>
      </c>
      <c r="M227" s="268" t="str">
        <f t="shared" si="0"/>
        <v/>
      </c>
      <c r="N227" s="268" t="str">
        <f t="shared" si="0"/>
        <v/>
      </c>
      <c r="O227" s="268" t="str">
        <f t="shared" si="0"/>
        <v/>
      </c>
      <c r="P227" s="268" t="str">
        <f t="shared" si="0"/>
        <v/>
      </c>
      <c r="Q227" s="268" t="str">
        <f t="shared" si="0"/>
        <v/>
      </c>
      <c r="R227" s="268" t="str">
        <f t="shared" si="0"/>
        <v/>
      </c>
      <c r="S227" s="265" t="str">
        <f t="shared" si="0"/>
        <v/>
      </c>
      <c r="T227" s="139">
        <f t="shared" ca="1" si="0"/>
        <v>0.28599999999999998</v>
      </c>
      <c r="U227" s="96" t="str">
        <f t="shared" ca="1" si="0"/>
        <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36" t="s">
        <v>87</v>
      </c>
      <c r="B229" s="238"/>
      <c r="C229" s="236" t="s">
        <v>164</v>
      </c>
      <c r="D229" s="237"/>
      <c r="E229" s="237"/>
      <c r="F229" s="237"/>
      <c r="G229" s="237"/>
      <c r="H229" s="236" t="s">
        <v>16</v>
      </c>
      <c r="I229" s="237"/>
      <c r="J229" s="134" t="s">
        <v>91</v>
      </c>
      <c r="K229" s="236" t="s">
        <v>88</v>
      </c>
      <c r="L229" s="237"/>
      <c r="M229" s="238"/>
      <c r="N229" s="134" t="s">
        <v>92</v>
      </c>
      <c r="O229" s="236" t="s">
        <v>93</v>
      </c>
      <c r="P229" s="237"/>
      <c r="Q229" s="237"/>
      <c r="R229" s="237"/>
      <c r="S229" s="237"/>
      <c r="T229" s="238"/>
      <c r="U229" s="273" t="s">
        <v>89</v>
      </c>
      <c r="V229" s="274"/>
      <c r="W229" s="273" t="s">
        <v>90</v>
      </c>
      <c r="X229" s="274"/>
    </row>
    <row r="230" spans="1:24" s="21" customFormat="1" ht="12.75" customHeight="1" x14ac:dyDescent="0.2">
      <c r="A230" s="264" t="str">
        <f>IF(A43="","",A43)</f>
        <v/>
      </c>
      <c r="B230" s="265"/>
      <c r="C230" s="264" t="str">
        <f>IF(C43="","",C43)</f>
        <v/>
      </c>
      <c r="D230" s="268"/>
      <c r="E230" s="268" t="str">
        <f>IF(E43="","",E43)</f>
        <v/>
      </c>
      <c r="F230" s="268"/>
      <c r="G230" s="268" t="str">
        <f>IF(G43="","",G43)</f>
        <v/>
      </c>
      <c r="H230" s="269" t="str">
        <f>IF(H43="","",H43)</f>
        <v/>
      </c>
      <c r="I230" s="270" t="str">
        <f>IF(I43="","",I43)</f>
        <v/>
      </c>
      <c r="J230" s="138" t="str">
        <f>IF(J43="","",J43)</f>
        <v/>
      </c>
      <c r="K230" s="256" t="str">
        <f>IF(K43="","",K43)</f>
        <v/>
      </c>
      <c r="L230" s="258"/>
      <c r="M230" s="259" t="str">
        <f>IF(M43="","",M43)</f>
        <v/>
      </c>
      <c r="N230" s="140" t="str">
        <f>IF(N43="","",N43)</f>
        <v/>
      </c>
      <c r="O230" s="256" t="str">
        <f>IF(O43="","",O43)</f>
        <v/>
      </c>
      <c r="P230" s="257"/>
      <c r="Q230" s="257" t="str">
        <f>IF(Q43="","",Q43)</f>
        <v/>
      </c>
      <c r="R230" s="258"/>
      <c r="S230" s="258" t="str">
        <f>IF(S43="","",S43)</f>
        <v/>
      </c>
      <c r="T230" s="259"/>
      <c r="U230" s="266" t="str">
        <f>IF(U43="","",U43)</f>
        <v/>
      </c>
      <c r="V230" s="267"/>
      <c r="W230" s="260" t="str">
        <f>IF(W43="","",W43)</f>
        <v/>
      </c>
      <c r="X230" s="261"/>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algorithmName="SHA-512" hashValue="DHiKYojyNgVO7R9vO+RCCMQphidMqPePvkdxhaq4OkNh9TXFlSYpZlVrhWIMFQktLkdx/k6jCk/R7gNg4hzDXA==" saltValue="QhrfdP11JCAGEWspADAt5Q=="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7:E57">
    <cfRule type="expression" dxfId="344" priority="44" stopIfTrue="1">
      <formula>$B57&lt;&gt;""</formula>
    </cfRule>
  </conditionalFormatting>
  <conditionalFormatting sqref="A48 H54:K54 H55:H56 H57:K57 A29:C29 J29 F29 A32 P29 G32 K32">
    <cfRule type="expression" dxfId="343" priority="50" stopIfTrue="1">
      <formula>A29&lt;&gt;""</formula>
    </cfRule>
  </conditionalFormatting>
  <conditionalFormatting sqref="G53:K54 G55:H56 G57:K57">
    <cfRule type="expression" dxfId="342" priority="45" stopIfTrue="1">
      <formula>$K$52&lt;&gt;"SIM"</formula>
    </cfRule>
  </conditionalFormatting>
  <conditionalFormatting sqref="A40:X43">
    <cfRule type="expression" dxfId="341" priority="58" stopIfTrue="1">
      <formula>OR(TipoOrçamento="BASE",TipoOrçamento="REPROGRAMADONPL")</formula>
    </cfRule>
    <cfRule type="expression" dxfId="340" priority="59" stopIfTrue="1">
      <formula>A40&lt;&gt;""</formula>
    </cfRule>
  </conditionalFormatting>
  <conditionalFormatting sqref="A35:X38">
    <cfRule type="expression" dxfId="339" priority="60" stopIfTrue="1">
      <formula>OR(TipoOrçamento="LICITADO",TipoOrçamento="REPROGRAMADOAC")</formula>
    </cfRule>
    <cfRule type="expression" dxfId="338" priority="61" stopIfTrue="1">
      <formula>A35&lt;&gt;""</formula>
    </cfRule>
  </conditionalFormatting>
  <conditionalFormatting sqref="Q32">
    <cfRule type="expression" dxfId="337" priority="3" stopIfTrue="1">
      <formula>Q32&lt;&gt;""</formula>
    </cfRule>
  </conditionalFormatting>
  <conditionalFormatting sqref="B54:E54 B55:B56">
    <cfRule type="expression" dxfId="336" priority="2" stopIfTrue="1">
      <formula>B54&lt;&gt;""</formula>
    </cfRule>
  </conditionalFormatting>
  <conditionalFormatting sqref="B54:E54 B55:B56">
    <cfRule type="expression" dxfId="335" priority="1" stopIfTrue="1">
      <formula>$K$52&lt;&gt;"SIM"</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Normal="100" zoomScaleSheetLayoutView="100" zoomScalePageLayoutView="70" workbookViewId="0">
      <selection activeCell="T11" sqref="T11"/>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39" t="s">
        <v>151</v>
      </c>
      <c r="J4" s="241"/>
      <c r="K4" s="239" t="s">
        <v>174</v>
      </c>
      <c r="L4" s="240"/>
      <c r="M4" s="240"/>
      <c r="N4" s="240"/>
      <c r="O4" s="240"/>
      <c r="P4" s="240"/>
      <c r="Q4" s="240"/>
      <c r="R4" s="241"/>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29" t="str">
        <f>DADOS!A29</f>
        <v>1491003210/2022</v>
      </c>
      <c r="J5" s="330"/>
      <c r="K5" s="331" t="str">
        <f>DADOS!A32</f>
        <v>Município de Presidente Olegário</v>
      </c>
      <c r="L5" s="332"/>
      <c r="M5" s="332"/>
      <c r="N5" s="332"/>
      <c r="O5" s="332"/>
      <c r="P5" s="332"/>
      <c r="Q5" s="332"/>
      <c r="R5" s="333"/>
      <c r="S5" s="57"/>
    </row>
    <row r="6" spans="1:29" ht="6" customHeight="1" x14ac:dyDescent="0.2">
      <c r="A6" s="52" t="str">
        <f>A5</f>
        <v>Construção e Reforma de Edifícios</v>
      </c>
      <c r="B6" s="54" t="s">
        <v>165</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39" t="s">
        <v>0</v>
      </c>
      <c r="J7" s="240"/>
      <c r="K7" s="240"/>
      <c r="L7" s="240"/>
      <c r="M7" s="240"/>
      <c r="N7" s="240"/>
      <c r="O7" s="240"/>
      <c r="P7" s="240"/>
      <c r="Q7" s="240"/>
      <c r="R7" s="241"/>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4" t="str">
        <f>DADOS!P29</f>
        <v>Recapeamento asfáltico em CBUQ, execução de linhas de resina acrílica e execução de sarjeta de concreto urbano na Rua Guilhermina Moreira, no Bairro Planalto.</v>
      </c>
      <c r="J8" s="334"/>
      <c r="K8" s="334"/>
      <c r="L8" s="334"/>
      <c r="M8" s="334"/>
      <c r="N8" s="334"/>
      <c r="O8" s="334"/>
      <c r="P8" s="334"/>
      <c r="Q8" s="334"/>
      <c r="R8" s="334"/>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9" t="s">
        <v>35</v>
      </c>
      <c r="J10" s="240"/>
      <c r="K10" s="240"/>
      <c r="L10" s="240"/>
      <c r="M10" s="240"/>
      <c r="N10" s="240"/>
      <c r="O10" s="240"/>
      <c r="P10" s="240"/>
      <c r="Q10" s="239" t="s">
        <v>13</v>
      </c>
      <c r="R10" s="241"/>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24" t="s">
        <v>34</v>
      </c>
      <c r="J11" s="325"/>
      <c r="K11" s="325"/>
      <c r="L11" s="325"/>
      <c r="M11" s="325"/>
      <c r="N11" s="325"/>
      <c r="O11" s="325"/>
      <c r="P11" s="326"/>
      <c r="Q11" s="327" t="str">
        <f>DADOS!$C$38</f>
        <v>Sim</v>
      </c>
      <c r="R11" s="328"/>
    </row>
    <row r="12" spans="1:29" x14ac:dyDescent="0.2">
      <c r="A12" s="52" t="s">
        <v>34</v>
      </c>
      <c r="B12" s="54" t="s">
        <v>165</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1" t="s">
        <v>36</v>
      </c>
      <c r="J13" s="321"/>
      <c r="K13" s="321"/>
      <c r="L13" s="321"/>
      <c r="M13" s="321"/>
      <c r="N13" s="321"/>
      <c r="O13" s="321"/>
      <c r="P13" s="321"/>
      <c r="Q13" s="318">
        <v>0.7</v>
      </c>
      <c r="R13" s="318"/>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19" t="s">
        <v>38</v>
      </c>
      <c r="J14" s="319"/>
      <c r="K14" s="319"/>
      <c r="L14" s="319"/>
      <c r="M14" s="319"/>
      <c r="N14" s="319"/>
      <c r="O14" s="319"/>
      <c r="P14" s="319"/>
      <c r="Q14" s="318">
        <v>0.03</v>
      </c>
      <c r="R14" s="318"/>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20" t="s">
        <v>39</v>
      </c>
      <c r="J16" s="320"/>
      <c r="K16" s="320"/>
      <c r="L16" s="320"/>
      <c r="M16" s="320" t="s">
        <v>40</v>
      </c>
      <c r="N16" s="323" t="s">
        <v>41</v>
      </c>
      <c r="O16" s="323" t="s">
        <v>42</v>
      </c>
      <c r="P16" s="322" t="s">
        <v>43</v>
      </c>
      <c r="Q16" s="322" t="s">
        <v>44</v>
      </c>
      <c r="R16" s="339" t="s">
        <v>45</v>
      </c>
      <c r="T16" s="335" t="str">
        <f>IF(V27,"Para BDI fora do intervalo estatístico, deve ser apresentado Relatório Técnico Circunstanciado justificando a adoção do percentual de cada parcela do BDI.","")</f>
        <v/>
      </c>
      <c r="U16" s="335"/>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20"/>
      <c r="J17" s="320"/>
      <c r="K17" s="320"/>
      <c r="L17" s="320"/>
      <c r="M17" s="320"/>
      <c r="N17" s="323"/>
      <c r="O17" s="323"/>
      <c r="P17" s="322"/>
      <c r="Q17" s="322"/>
      <c r="R17" s="339"/>
      <c r="T17" s="335"/>
      <c r="U17" s="335"/>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7" t="str">
        <f>IF($I$11=$A$59,"Encargos Sociais incidentes sobre a mão de obra","Administração Central")</f>
        <v>Administração Central</v>
      </c>
      <c r="J18" s="337"/>
      <c r="K18" s="337"/>
      <c r="L18" s="337"/>
      <c r="M18" s="60" t="str">
        <f>IF($I$11=$A$59,"K1","AC")</f>
        <v>AC</v>
      </c>
      <c r="N18" s="61">
        <v>4.6699999999999998E-2</v>
      </c>
      <c r="O18" s="62" t="s">
        <v>46</v>
      </c>
      <c r="P18" s="63">
        <f>VLOOKUP(CONCATENATE(I$11,"-",M18),$C$2:$G$49,3,FALSE)</f>
        <v>3.7999999999999999E-2</v>
      </c>
      <c r="Q18" s="63">
        <f>VLOOKUP(CONCATENATE(I$11,"-",M18),$C$2:$G$49,4,FALSE)</f>
        <v>4.0099999999999997E-2</v>
      </c>
      <c r="R18" s="63">
        <f>VLOOKUP(CONCATENATE(I$11,"-",M18),$C$2:$G$49,5,FALSE)</f>
        <v>4.6699999999999998E-2</v>
      </c>
      <c r="T18" s="335"/>
      <c r="U18" s="335"/>
      <c r="V18" s="108"/>
      <c r="W18" s="108"/>
      <c r="X18" s="108"/>
      <c r="Y18" s="108"/>
      <c r="Z18" s="108"/>
      <c r="AA18" s="108"/>
      <c r="AB18" s="108"/>
      <c r="AC18" s="108"/>
    </row>
    <row r="19" spans="1:31" ht="26.25" customHeight="1" x14ac:dyDescent="0.2">
      <c r="A19" s="52" t="str">
        <f>A18</f>
        <v>Construção de Redes de Abastecimento de Água, Coleta de Esgoto</v>
      </c>
      <c r="B19" s="54" t="s">
        <v>165</v>
      </c>
      <c r="C19" s="52" t="str">
        <f t="shared" si="0"/>
        <v>Construção de Redes de Abastecimento de Água, Coleta de Esgoto-L</v>
      </c>
      <c r="E19" s="55">
        <v>6.7400000000000002E-2</v>
      </c>
      <c r="F19" s="55">
        <v>8.0399999999999985E-2</v>
      </c>
      <c r="G19" s="55">
        <v>9.4E-2</v>
      </c>
      <c r="I19" s="337" t="str">
        <f>IF($I$11=$A$59,"Administração Central da empresa ou consultoria - overhead","Seguro e Garantia")</f>
        <v>Seguro e Garantia</v>
      </c>
      <c r="J19" s="337"/>
      <c r="K19" s="337"/>
      <c r="L19" s="337"/>
      <c r="M19" s="60" t="str">
        <f>IF($I$11=$A$59,"K2","SG")</f>
        <v>SG</v>
      </c>
      <c r="N19" s="61">
        <v>7.4000000000000003E-3</v>
      </c>
      <c r="O19" s="62" t="s">
        <v>46</v>
      </c>
      <c r="P19" s="63">
        <f>VLOOKUP(CONCATENATE(I$11,"-",M19),$C$2:$G$49,3,FALSE)</f>
        <v>3.2000000000000002E-3</v>
      </c>
      <c r="Q19" s="63">
        <f>VLOOKUP(CONCATENATE(I$11,"-",M19),$C$2:$G$49,4,FALSE)</f>
        <v>4.0000000000000001E-3</v>
      </c>
      <c r="R19" s="63">
        <f>VLOOKUP(CONCATENATE(I$11,"-",M19),$C$2:$G$49,5,FALSE)</f>
        <v>7.4000000000000003E-3</v>
      </c>
      <c r="T19" s="335"/>
      <c r="U19" s="335"/>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7" t="str">
        <f>IF($I$11=$A$59,"","Risco")</f>
        <v>Risco</v>
      </c>
      <c r="J20" s="337"/>
      <c r="K20" s="337"/>
      <c r="L20" s="337"/>
      <c r="M20" s="60" t="str">
        <f>IF($I$11=$A$59,"","R")</f>
        <v>R</v>
      </c>
      <c r="N20" s="61">
        <v>9.7000000000000003E-3</v>
      </c>
      <c r="O20" s="62" t="s">
        <v>46</v>
      </c>
      <c r="P20" s="63">
        <f>VLOOKUP(CONCATENATE(I$11,"-",M20),$C$2:$G$49,3,FALSE)</f>
        <v>5.0000000000000001E-3</v>
      </c>
      <c r="Q20" s="63">
        <f>VLOOKUP(CONCATENATE(I$11,"-",M20),$C$2:$G$49,4,FALSE)</f>
        <v>5.6000000000000008E-3</v>
      </c>
      <c r="R20" s="63">
        <f>VLOOKUP(CONCATENATE(I$11,"-",M20),$C$2:$G$49,5,FALSE)</f>
        <v>9.7000000000000003E-3</v>
      </c>
      <c r="T20" s="335"/>
      <c r="U20" s="335"/>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7" t="str">
        <f>IF($I$11=$A$59,"","Despesas Financeiras")</f>
        <v>Despesas Financeiras</v>
      </c>
      <c r="J21" s="337"/>
      <c r="K21" s="337"/>
      <c r="L21" s="337"/>
      <c r="M21" s="60" t="str">
        <f>IF($I$11=$A$59,"","DF")</f>
        <v>DF</v>
      </c>
      <c r="N21" s="61">
        <v>8.9999999999999993E-3</v>
      </c>
      <c r="O21" s="62" t="s">
        <v>46</v>
      </c>
      <c r="P21" s="63">
        <f>VLOOKUP(CONCATENATE(I$11,"-",M21),$C$2:$G$49,3,FALSE)</f>
        <v>1.0200000000000001E-2</v>
      </c>
      <c r="Q21" s="63">
        <f>VLOOKUP(CONCATENATE(I$11,"-",M21),$C$2:$G$49,4,FALSE)</f>
        <v>1.11E-2</v>
      </c>
      <c r="R21" s="63">
        <f>VLOOKUP(CONCATENATE(I$11,"-",M21),$C$2:$G$49,5,FALSE)</f>
        <v>1.21E-2</v>
      </c>
      <c r="T21" s="335"/>
      <c r="U21" s="335"/>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7" t="str">
        <f>IF($I$11=$A$59,"Margem bruta da empresa de consultoria","Lucro")</f>
        <v>Lucro</v>
      </c>
      <c r="J22" s="337"/>
      <c r="K22" s="337"/>
      <c r="L22" s="337"/>
      <c r="M22" s="60" t="str">
        <f>IF($I$11=$A$59,"K3","L")</f>
        <v>L</v>
      </c>
      <c r="N22" s="61">
        <v>7.5300000000000006E-2</v>
      </c>
      <c r="O22" s="62" t="s">
        <v>46</v>
      </c>
      <c r="P22" s="63">
        <f>VLOOKUP(CONCATENATE(I$11,"-",M22),$C$2:$G$49,3,FALSE)</f>
        <v>6.6400000000000001E-2</v>
      </c>
      <c r="Q22" s="63">
        <f>VLOOKUP(CONCATENATE(I$11,"-",M22),$C$2:$G$49,4,FALSE)</f>
        <v>7.2999999999999995E-2</v>
      </c>
      <c r="R22" s="63">
        <f>VLOOKUP(CONCATENATE(I$11,"-",M22),$C$2:$G$49,5,FALSE)</f>
        <v>8.6899999999999991E-2</v>
      </c>
      <c r="T22" s="335"/>
      <c r="U22" s="335"/>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8" t="s">
        <v>48</v>
      </c>
      <c r="J23" s="338"/>
      <c r="K23" s="338"/>
      <c r="L23" s="338"/>
      <c r="M23" s="60" t="s">
        <v>49</v>
      </c>
      <c r="N23" s="61">
        <v>3.6499999999999998E-2</v>
      </c>
      <c r="O23" s="62" t="s">
        <v>46</v>
      </c>
      <c r="P23" s="63">
        <v>3.6499999999999998E-2</v>
      </c>
      <c r="Q23" s="63">
        <v>3.6499999999999998E-2</v>
      </c>
      <c r="R23" s="63">
        <v>3.6499999999999998E-2</v>
      </c>
      <c r="T23" s="335"/>
      <c r="U23" s="335"/>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7" t="s">
        <v>50</v>
      </c>
      <c r="J24" s="337"/>
      <c r="K24" s="337"/>
      <c r="L24" s="337"/>
      <c r="M24" s="60" t="s">
        <v>51</v>
      </c>
      <c r="N24" s="63">
        <f>IF($I$11&lt;&gt;$A$58,Q14*Q13,0)</f>
        <v>2.0999999999999998E-2</v>
      </c>
      <c r="O24" s="62" t="s">
        <v>46</v>
      </c>
      <c r="P24" s="63">
        <v>0</v>
      </c>
      <c r="Q24" s="63">
        <v>2.5000000000000001E-2</v>
      </c>
      <c r="R24" s="63">
        <v>0.05</v>
      </c>
      <c r="T24" s="335"/>
      <c r="U24" s="335"/>
    </row>
    <row r="25" spans="1:31" ht="26.25" customHeight="1" x14ac:dyDescent="0.2">
      <c r="A25" s="52" t="str">
        <f>A24</f>
        <v>Construção e Manutenção de Estações e Redes de Distribuição de Energia Elétrica</v>
      </c>
      <c r="B25" s="54" t="s">
        <v>165</v>
      </c>
      <c r="C25" s="52" t="str">
        <f t="shared" si="0"/>
        <v>Construção e Manutenção de Estações e Redes de Distribuição de Energia Elétrica-L</v>
      </c>
      <c r="E25" s="55">
        <v>0.08</v>
      </c>
      <c r="F25" s="55">
        <v>8.3100000000000007E-2</v>
      </c>
      <c r="G25" s="55">
        <v>9.5100000000000004E-2</v>
      </c>
      <c r="I25" s="337" t="s">
        <v>117</v>
      </c>
      <c r="J25" s="337"/>
      <c r="K25" s="337"/>
      <c r="L25" s="337"/>
      <c r="M25" s="60" t="s">
        <v>52</v>
      </c>
      <c r="N25" s="63">
        <f>IF(AND($I$11&lt;&gt;$A$58,Q11="Sim"),4.5%,0%)</f>
        <v>4.4999999999999998E-2</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7" t="s">
        <v>53</v>
      </c>
      <c r="J26" s="337"/>
      <c r="K26" s="337"/>
      <c r="L26" s="337"/>
      <c r="M26" s="65" t="s">
        <v>33</v>
      </c>
      <c r="N26" s="63">
        <f>IF($I$11=$A$58,0,ROUND((((1+N18+N19+N20)*(1+N21)*(1+N22)/(1-(N23+N24)))-1),4))</f>
        <v>0.22459999999999999</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48" t="s">
        <v>55</v>
      </c>
      <c r="J27" s="348"/>
      <c r="K27" s="348"/>
      <c r="L27" s="348"/>
      <c r="M27" s="66" t="s">
        <v>56</v>
      </c>
      <c r="N27" s="67">
        <f>IF($I$11=$A$58,0,ROUND((((1+N18+N19+N20)*(1+N21)*(1+N22)/(1-(N23+N24+N25)))-1),4))</f>
        <v>0.28599999999999998</v>
      </c>
      <c r="O27" s="110" t="str">
        <f>IF(Q11&lt;&gt;"Sim","",O26)</f>
        <v>OK</v>
      </c>
      <c r="P27" s="349"/>
      <c r="Q27" s="349"/>
      <c r="R27" s="349"/>
      <c r="T27" s="107"/>
      <c r="V27" s="111" t="b">
        <f>AND(COUNTA(N18:N23)=6,O26&lt;&gt;"ok",NOT(V29))</f>
        <v>0</v>
      </c>
      <c r="W27" s="52" t="s">
        <v>119</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7" t="s">
        <v>118</v>
      </c>
      <c r="K29" s="347"/>
      <c r="L29" s="347"/>
      <c r="M29" s="347"/>
      <c r="N29" s="347"/>
      <c r="O29" s="347"/>
      <c r="P29" s="347"/>
      <c r="Q29" s="347"/>
      <c r="R29" s="347"/>
      <c r="V29" s="111" t="b">
        <v>0</v>
      </c>
      <c r="W29" s="52" t="s">
        <v>120</v>
      </c>
    </row>
    <row r="30" spans="1:31" ht="7.5" customHeight="1" x14ac:dyDescent="0.2">
      <c r="B30" s="54"/>
      <c r="E30" s="55"/>
      <c r="F30" s="55"/>
      <c r="G30" s="55"/>
      <c r="V30" s="111"/>
    </row>
    <row r="31" spans="1:31" ht="18.75" customHeight="1" x14ac:dyDescent="0.2">
      <c r="B31" s="54"/>
      <c r="E31" s="55"/>
      <c r="F31" s="55"/>
      <c r="G31" s="55"/>
      <c r="I31" s="350" t="s">
        <v>61</v>
      </c>
      <c r="J31" s="350"/>
      <c r="K31" s="350"/>
      <c r="L31" s="350"/>
      <c r="M31" s="350"/>
      <c r="N31" s="350"/>
      <c r="O31" s="350"/>
      <c r="P31" s="350"/>
      <c r="Q31" s="350"/>
      <c r="R31" s="350"/>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5" t="str">
        <f>IF(Q11="Sim","BDI.DES =","BDI.PAD =")</f>
        <v>BDI.DES =</v>
      </c>
      <c r="M32" s="343" t="str">
        <f>IF($I$11=$A$59,"(1+K1+K2)*(1+K3)","(1+AC + S + R + G)*(1 + DF)*(1+L)")</f>
        <v>(1+AC + S + R + G)*(1 + DF)*(1+L)</v>
      </c>
      <c r="N32" s="343"/>
      <c r="O32" s="343"/>
      <c r="P32" s="341" t="s">
        <v>109</v>
      </c>
      <c r="Q32" s="100"/>
      <c r="R32" s="100"/>
    </row>
    <row r="33" spans="1:18" ht="27" customHeight="1" x14ac:dyDescent="0.2">
      <c r="A33" s="52" t="str">
        <f>A32</f>
        <v>Obras Portuárias, Marítimas e Fluviais</v>
      </c>
      <c r="B33" s="54" t="s">
        <v>165</v>
      </c>
      <c r="C33" s="52" t="str">
        <f t="shared" si="0"/>
        <v>Obras Portuárias, Marítimas e Fluviais-L</v>
      </c>
      <c r="E33" s="55">
        <v>7.1399999999999991E-2</v>
      </c>
      <c r="F33" s="55">
        <v>8.4000000000000005E-2</v>
      </c>
      <c r="G33" s="55">
        <v>0.1043</v>
      </c>
      <c r="I33" s="100"/>
      <c r="J33" s="100"/>
      <c r="K33" s="100"/>
      <c r="L33" s="345"/>
      <c r="M33" s="344" t="str">
        <f>IF(Q11="Sim","(1-CP-ISS-CRPB)","(1-CP-ISS)")</f>
        <v>(1-CP-ISS-CRPB)</v>
      </c>
      <c r="N33" s="344"/>
      <c r="O33" s="344"/>
      <c r="P33" s="342"/>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40"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70%, com a respectiva alíquota de 3%.</v>
      </c>
      <c r="J35" s="340"/>
      <c r="K35" s="340"/>
      <c r="L35" s="340"/>
      <c r="M35" s="340"/>
      <c r="N35" s="340"/>
      <c r="O35" s="340"/>
      <c r="P35" s="340"/>
      <c r="Q35" s="340"/>
      <c r="R35" s="340"/>
    </row>
    <row r="36" spans="1:18" ht="11.25" customHeight="1" x14ac:dyDescent="0.2">
      <c r="B36" s="59"/>
      <c r="E36" s="55"/>
      <c r="F36" s="55"/>
      <c r="G36" s="55"/>
    </row>
    <row r="37" spans="1:18" ht="52.5" customHeight="1" x14ac:dyDescent="0.2">
      <c r="B37" s="59"/>
      <c r="E37" s="55"/>
      <c r="F37" s="55"/>
      <c r="G37" s="55"/>
      <c r="I37" s="340"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340"/>
      <c r="K37" s="340"/>
      <c r="L37" s="340"/>
      <c r="M37" s="340"/>
      <c r="N37" s="340"/>
      <c r="O37" s="340"/>
      <c r="P37" s="340"/>
      <c r="Q37" s="340"/>
      <c r="R37" s="340"/>
    </row>
    <row r="38" spans="1:18" ht="18" customHeight="1" x14ac:dyDescent="0.2">
      <c r="A38" s="52" t="s">
        <v>138</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2"/>
      <c r="J40" s="353"/>
      <c r="K40" s="353"/>
      <c r="L40" s="353"/>
      <c r="M40" s="353"/>
      <c r="N40" s="353"/>
      <c r="O40" s="353"/>
      <c r="P40" s="353"/>
      <c r="Q40" s="353"/>
      <c r="R40" s="354"/>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165</v>
      </c>
      <c r="C42" s="52" t="str">
        <f t="shared" si="0"/>
        <v>Fornecimento de Materiais e Equipamentos (aquisição indireta - em conjunto com licitação de obras)-L</v>
      </c>
      <c r="E42" s="55">
        <v>3.5000000000000003E-2</v>
      </c>
      <c r="F42" s="55">
        <v>5.1100000000000007E-2</v>
      </c>
      <c r="G42" s="55">
        <v>6.2199999999999998E-2</v>
      </c>
      <c r="I42" s="336" t="str">
        <f>PO!K40</f>
        <v>Presidente Olegário / MG</v>
      </c>
      <c r="J42" s="336"/>
      <c r="K42" s="336"/>
      <c r="L42" s="336"/>
      <c r="O42" s="351">
        <f ca="1">PO!K43</f>
        <v>44984</v>
      </c>
      <c r="P42" s="351"/>
      <c r="Q42" s="351"/>
      <c r="R42" s="351"/>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7" t="s">
        <v>121</v>
      </c>
      <c r="J43" s="317"/>
      <c r="K43" s="317"/>
      <c r="L43" s="317"/>
      <c r="N43" s="68"/>
      <c r="O43" s="144" t="s">
        <v>122</v>
      </c>
      <c r="P43" s="145"/>
      <c r="Q43" s="145"/>
      <c r="R43" s="145"/>
    </row>
    <row r="44" spans="1:18" x14ac:dyDescent="0.2">
      <c r="A44" s="52" t="s">
        <v>59</v>
      </c>
      <c r="B44" s="54" t="s">
        <v>105</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106</v>
      </c>
      <c r="C45" s="52" t="str">
        <f t="shared" si="0"/>
        <v>Estudos e Projetos, Planos e Gerenciamento e outros correlatos-K2</v>
      </c>
      <c r="E45" s="55" t="s">
        <v>46</v>
      </c>
      <c r="F45" s="55">
        <v>0.2</v>
      </c>
      <c r="G45" s="55" t="s">
        <v>46</v>
      </c>
      <c r="I45" s="316"/>
      <c r="J45" s="316"/>
      <c r="K45" s="316"/>
      <c r="L45" s="316"/>
      <c r="M45" s="69"/>
      <c r="N45" s="69"/>
      <c r="O45" s="316"/>
      <c r="P45" s="316"/>
      <c r="Q45" s="316"/>
      <c r="R45" s="316"/>
    </row>
    <row r="46" spans="1:18" x14ac:dyDescent="0.2">
      <c r="A46" s="52" t="str">
        <f>A45</f>
        <v>Estudos e Projetos, Planos e Gerenciamento e outros correlatos</v>
      </c>
      <c r="B46" s="54" t="s">
        <v>107</v>
      </c>
      <c r="C46" s="52" t="str">
        <f t="shared" si="0"/>
        <v>Estudos e Projetos, Planos e Gerenciamento e outros correlatos-</v>
      </c>
      <c r="E46" s="55" t="s">
        <v>46</v>
      </c>
      <c r="F46" s="55" t="s">
        <v>46</v>
      </c>
      <c r="G46" s="55" t="s">
        <v>46</v>
      </c>
      <c r="I46" s="355" t="s">
        <v>57</v>
      </c>
      <c r="J46" s="355"/>
      <c r="K46" s="355"/>
      <c r="L46" s="355"/>
      <c r="M46" s="70"/>
      <c r="N46" s="70"/>
      <c r="O46" s="355" t="s">
        <v>58</v>
      </c>
      <c r="P46" s="355"/>
      <c r="Q46" s="355"/>
      <c r="R46" s="355"/>
    </row>
    <row r="47" spans="1:18" ht="14.25" x14ac:dyDescent="0.2">
      <c r="A47" s="52" t="str">
        <f>A46</f>
        <v>Estudos e Projetos, Planos e Gerenciamento e outros correlatos</v>
      </c>
      <c r="B47" s="54" t="s">
        <v>107</v>
      </c>
      <c r="C47" s="52" t="str">
        <f t="shared" si="0"/>
        <v>Estudos e Projetos, Planos e Gerenciamento e outros correlatos-</v>
      </c>
      <c r="E47" s="55" t="s">
        <v>46</v>
      </c>
      <c r="F47" s="55" t="s">
        <v>46</v>
      </c>
      <c r="G47" s="55" t="s">
        <v>46</v>
      </c>
      <c r="I47" s="29" t="s">
        <v>141</v>
      </c>
      <c r="J47" s="346">
        <f>DADOS!B54</f>
        <v>0</v>
      </c>
      <c r="K47" s="346"/>
      <c r="L47" s="346"/>
      <c r="M47" s="71"/>
      <c r="N47" s="71"/>
      <c r="O47" s="29" t="s">
        <v>141</v>
      </c>
      <c r="P47" s="315" t="s">
        <v>238</v>
      </c>
      <c r="Q47" s="315"/>
      <c r="R47" s="315"/>
    </row>
    <row r="48" spans="1:18" ht="14.25" x14ac:dyDescent="0.2">
      <c r="A48" s="52" t="str">
        <f>A47</f>
        <v>Estudos e Projetos, Planos e Gerenciamento e outros correlatos</v>
      </c>
      <c r="B48" s="54" t="s">
        <v>108</v>
      </c>
      <c r="C48" s="52" t="str">
        <f t="shared" si="0"/>
        <v>Estudos e Projetos, Planos e Gerenciamento e outros correlatos-K3</v>
      </c>
      <c r="E48" s="55" t="s">
        <v>46</v>
      </c>
      <c r="F48" s="55">
        <v>0.12</v>
      </c>
      <c r="G48" s="55" t="s">
        <v>46</v>
      </c>
      <c r="I48" s="29" t="s">
        <v>17</v>
      </c>
      <c r="J48" s="346">
        <f>DADOS!B55</f>
        <v>0</v>
      </c>
      <c r="K48" s="346"/>
      <c r="L48" s="346"/>
      <c r="M48" s="71"/>
      <c r="N48" s="71"/>
      <c r="O48" s="29" t="s">
        <v>60</v>
      </c>
      <c r="P48" s="315" t="s">
        <v>239</v>
      </c>
      <c r="Q48" s="315"/>
      <c r="R48" s="315"/>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6">
        <f>DADOS!B56</f>
        <v>0</v>
      </c>
      <c r="K49" s="346"/>
      <c r="L49" s="346"/>
      <c r="M49" s="71"/>
      <c r="N49" s="71"/>
      <c r="O49" s="71"/>
      <c r="P49" s="71"/>
      <c r="Q49" s="71"/>
      <c r="R49" s="71"/>
    </row>
    <row r="50" spans="1:18" x14ac:dyDescent="0.2">
      <c r="I50" s="29" t="str">
        <f>DADOS!A57</f>
        <v>CNPJ:</v>
      </c>
      <c r="J50" s="346">
        <f>DADOS!B57</f>
        <v>0</v>
      </c>
      <c r="K50" s="346"/>
      <c r="L50" s="346"/>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138</v>
      </c>
    </row>
    <row r="58" spans="1:18" hidden="1" x14ac:dyDescent="0.2">
      <c r="A58" s="52" t="s">
        <v>139</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334" priority="6" stopIfTrue="1">
      <formula>$O$42=""</formula>
    </cfRule>
  </conditionalFormatting>
  <conditionalFormatting sqref="O18:O27">
    <cfRule type="expression" dxfId="333" priority="11" stopIfTrue="1">
      <formula>AND(O18&lt;&gt;"OK",O18&lt;&gt;"-",O18&lt;&gt;"")</formula>
    </cfRule>
    <cfRule type="cellIs" dxfId="332" priority="12" stopIfTrue="1" operator="equal">
      <formula>"OK"</formula>
    </cfRule>
  </conditionalFormatting>
  <conditionalFormatting sqref="I26:N26">
    <cfRule type="expression" dxfId="331" priority="10" stopIfTrue="1">
      <formula>$Q$11="Não"</formula>
    </cfRule>
  </conditionalFormatting>
  <conditionalFormatting sqref="I27:N27">
    <cfRule type="expression" dxfId="330" priority="9" stopIfTrue="1">
      <formula>$Q$11="sim"</formula>
    </cfRule>
  </conditionalFormatting>
  <conditionalFormatting sqref="P27:R27">
    <cfRule type="expression" dxfId="329" priority="8" stopIfTrue="1">
      <formula>$Q$11="sim"</formula>
    </cfRule>
  </conditionalFormatting>
  <conditionalFormatting sqref="P47:R48">
    <cfRule type="expression" dxfId="328" priority="7" stopIfTrue="1">
      <formula>P47=""</formula>
    </cfRule>
  </conditionalFormatting>
  <conditionalFormatting sqref="I29:R29">
    <cfRule type="expression" dxfId="327" priority="3" stopIfTrue="1">
      <formula>AND(NOT($V$27),NOT($V$29))</formula>
    </cfRule>
  </conditionalFormatting>
  <conditionalFormatting sqref="P18:R26">
    <cfRule type="expression" dxfId="326"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44"/>
  <sheetViews>
    <sheetView showGridLines="0" tabSelected="1" topLeftCell="J1" zoomScale="80" zoomScaleNormal="80" zoomScaleSheetLayoutView="100" workbookViewId="0">
      <pane ySplit="12" topLeftCell="A13" activePane="bottomLeft" state="frozen"/>
      <selection pane="bottomLeft" activeCell="Y13" sqref="Y13:Y28"/>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168</v>
      </c>
      <c r="O1" s="79"/>
      <c r="P1" s="81"/>
      <c r="Q1" s="79"/>
      <c r="R1" s="79"/>
      <c r="S1" s="79"/>
      <c r="T1" s="77" t="s">
        <v>166</v>
      </c>
      <c r="U1" s="4"/>
      <c r="V1" s="4"/>
      <c r="W1" s="4"/>
      <c r="X1" s="4"/>
      <c r="Y1" s="4"/>
      <c r="Z1" s="4"/>
      <c r="AA1" s="4"/>
    </row>
    <row r="2" spans="1:27" ht="12.75" customHeight="1" x14ac:dyDescent="0.2">
      <c r="A2" s="4"/>
      <c r="B2" s="20" t="s">
        <v>158</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167</v>
      </c>
      <c r="U2" s="4"/>
      <c r="V2" s="4"/>
      <c r="W2" s="356" t="s">
        <v>182</v>
      </c>
      <c r="X2" s="356"/>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149</v>
      </c>
      <c r="X3" s="214" t="b">
        <v>1</v>
      </c>
      <c r="Y3" s="4"/>
      <c r="Z3" s="4"/>
      <c r="AA3" s="4"/>
    </row>
    <row r="4" spans="1:27" ht="24.95" customHeight="1" x14ac:dyDescent="0.2">
      <c r="A4" s="4" t="s">
        <v>127</v>
      </c>
      <c r="B4" s="4"/>
      <c r="D4" s="117"/>
      <c r="F4" s="5"/>
      <c r="G4" s="4"/>
      <c r="H4" s="4"/>
      <c r="I4" s="4"/>
      <c r="J4" s="4"/>
      <c r="K4" s="4"/>
      <c r="L4" s="4"/>
      <c r="M4" s="4"/>
      <c r="N4" s="4"/>
      <c r="O4" s="4"/>
      <c r="P4" s="4"/>
      <c r="Q4" s="4"/>
      <c r="R4" s="4"/>
      <c r="S4" s="4"/>
      <c r="T4" s="4"/>
      <c r="U4" s="153" t="s">
        <v>189</v>
      </c>
      <c r="W4" s="211" t="s">
        <v>183</v>
      </c>
      <c r="X4" s="214" t="b">
        <v>1</v>
      </c>
      <c r="Y4" s="4"/>
      <c r="Z4" s="4"/>
      <c r="AA4" s="4"/>
    </row>
    <row r="5" spans="1:27" ht="24.95" customHeight="1" x14ac:dyDescent="0.2">
      <c r="A5" s="9">
        <f>MAX($A$12:$A$29)</f>
        <v>2</v>
      </c>
      <c r="B5" s="4"/>
      <c r="D5" s="117"/>
      <c r="F5" s="5"/>
      <c r="G5" s="4"/>
      <c r="H5" s="4"/>
      <c r="I5" s="4"/>
      <c r="J5" s="4"/>
      <c r="K5" s="4"/>
      <c r="L5" s="4"/>
      <c r="M5" s="4"/>
      <c r="N5" s="4"/>
      <c r="O5" s="4"/>
      <c r="P5" s="4"/>
      <c r="Q5" s="4"/>
      <c r="R5" s="4"/>
      <c r="S5" s="4"/>
      <c r="T5" s="4"/>
      <c r="U5" s="119" t="str">
        <f ca="1">IF(COUNTIF($U$12:OFFSET($U$29,-1,0),"DESCRIÇÃO")+COUNTIF($U$12:OFFSET($U$29,-1,0),"UNIDADE")+COUNTIF($U$12:OFFSET($U$29,-1,0),"SEM VALOR")&gt;0,"NÃO OK","OK")</f>
        <v>NÃO OK</v>
      </c>
      <c r="V5" s="212" t="s">
        <v>107</v>
      </c>
      <c r="W5" s="211" t="s">
        <v>184</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185</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186</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124</v>
      </c>
      <c r="C10" s="74" t="s">
        <v>153</v>
      </c>
      <c r="D10" s="74" t="s">
        <v>154</v>
      </c>
      <c r="E10" s="74" t="s">
        <v>155</v>
      </c>
      <c r="F10" s="74" t="s">
        <v>156</v>
      </c>
      <c r="G10" s="74" t="s">
        <v>157</v>
      </c>
      <c r="H10" s="74" t="s">
        <v>125</v>
      </c>
      <c r="I10" s="74" t="s">
        <v>126</v>
      </c>
      <c r="J10" s="74" t="s">
        <v>3</v>
      </c>
      <c r="K10" s="74" t="s">
        <v>148</v>
      </c>
      <c r="L10" s="74" t="s">
        <v>147</v>
      </c>
      <c r="M10" s="74" t="s">
        <v>4</v>
      </c>
      <c r="N10" s="74" t="s">
        <v>143</v>
      </c>
      <c r="O10" s="75" t="s">
        <v>150</v>
      </c>
      <c r="P10" s="74" t="s">
        <v>149</v>
      </c>
      <c r="Q10" s="74" t="str">
        <f>IF(OR(TipoOrçamento="LICITADO",TipoOrçamento="REPROGRAMADOAC"),"Preço Unitário (R$)","Custo Unitário (R$)")</f>
        <v>Preço Unitário (R$)</v>
      </c>
      <c r="R10" s="74" t="s">
        <v>5</v>
      </c>
      <c r="S10" s="74" t="s">
        <v>152</v>
      </c>
      <c r="T10" s="74" t="s">
        <v>6</v>
      </c>
      <c r="U10" s="74" t="s">
        <v>160</v>
      </c>
      <c r="V10" s="116" t="s">
        <v>162</v>
      </c>
      <c r="W10" s="116" t="s">
        <v>123</v>
      </c>
      <c r="X10" s="116" t="s">
        <v>131</v>
      </c>
      <c r="Y10" s="115" t="str">
        <f>IF(TipoOrçamento="LICITADO","Preço Unitário Edital (R$)","Custo Unitário Referência (R$)")</f>
        <v>Preço Unitário Edital (R$)</v>
      </c>
      <c r="Z10" s="147" t="str">
        <f>IF(TipoOrçamento="LICITADO","Valor BDI Edital","Valor BDI")</f>
        <v>Valor BDI Edital</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IF(OR($A11="S",$A11=0),0,MATCH(0,OFFSET($B11,1,$A11,ROW($A$29)-ROW($A11)),0))</f>
        <v>0</v>
      </c>
      <c r="I11">
        <f ca="1">IF(OR($A11="S",$A11=0),0,MATCH(OFFSET($B11,0,$A11)+1,OFFSET($B11,1,$A11,ROW($A$29)-ROW($A11)),0))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0.28599999999999998</v>
      </c>
      <c r="AA11" s="4"/>
    </row>
    <row r="12" spans="1:27" x14ac:dyDescent="0.2">
      <c r="A12">
        <v>0</v>
      </c>
      <c r="B12">
        <f ca="1">COUNTA(OFFSET(B12,1,0):B$29)</f>
        <v>16</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SUMIF(OFFSET($J12,1,0,ROW(T29)-ROW(T12)-1),"Serviço",OFFSET(T12,1,0,ROW(T29)-ROW(T12)-1))</f>
        <v>0</v>
      </c>
      <c r="U12" s="13" t="str">
        <f>IF($N12=0,"DESCRIÇÃO","")</f>
        <v>DESCRIÇÃO</v>
      </c>
      <c r="V12" s="4">
        <v>0</v>
      </c>
      <c r="W12" s="4"/>
      <c r="X12" s="4"/>
      <c r="Y12" s="11"/>
      <c r="Z12" s="133"/>
      <c r="AA12" s="4"/>
    </row>
    <row r="13" spans="1:27" x14ac:dyDescent="0.2">
      <c r="A13">
        <f t="shared" ref="A13:A26" si="0">CHOOSE(1+LOG(1+2*(J13="Meta")+4*(J13="Nível 2")+8*(J13="Nível 3")+16*(J13="Nível 4")+32*(J13="Serviço"),2),0,1,2,3,4,"S")</f>
        <v>1</v>
      </c>
      <c r="B13">
        <f t="shared" ref="B13:B26" ca="1" si="1">IF(OR(A13="S",A13=0),0,IF(ISERROR(I13),H13,SMALL(H13:I13,1)))</f>
        <v>16</v>
      </c>
      <c r="C13">
        <f t="shared" ref="C13:C26" ca="1" si="2">IF($A13=1,OFFSET(C13,-1,0)+1,OFFSET(C13,-1,0))</f>
        <v>1</v>
      </c>
      <c r="D13">
        <f t="shared" ref="D13:D26" ca="1" si="3">IF($A13=1,0,IF($A13=2,OFFSET(D13,-1,0)+1,OFFSET(D13,-1,0)))</f>
        <v>0</v>
      </c>
      <c r="E13">
        <f t="shared" ref="E13:E26" ca="1" si="4">IF(AND($A13&lt;=2,$A13&lt;&gt;0),0,IF($A13=3,OFFSET(E13,-1,0)+1,OFFSET(E13,-1,0)))</f>
        <v>0</v>
      </c>
      <c r="F13">
        <f t="shared" ref="F13:F26" ca="1" si="5">IF(AND($A13&lt;=3,$A13&lt;&gt;0),0,IF($A13=4,OFFSET(F13,-1,0)+1,OFFSET(F13,-1,0)))</f>
        <v>0</v>
      </c>
      <c r="G13">
        <f t="shared" ref="G13:G26" ca="1" si="6">IF(AND($A13&lt;=4,$A13&lt;&gt;0),0,IF($A13="S",OFFSET(G13,-1,0)+1,OFFSET(G13,-1,0)))</f>
        <v>0</v>
      </c>
      <c r="H13">
        <f t="shared" ref="H13:H28" ca="1" si="7">IF(OR($A13="S",$A13=0),0,MATCH(0,OFFSET($B13,1,$A13,ROW($A$29)-ROW($A13)),0))</f>
        <v>16</v>
      </c>
      <c r="I13" t="e">
        <f t="shared" ref="I13:I28" ca="1" si="8">IF(OR($A13="S",$A13=0),0,MATCH(OFFSET($B13,0,$A13)+1,OFFSET($B13,1,$A13,ROW($A$29)-ROW($A13)),0))</f>
        <v>#N/A</v>
      </c>
      <c r="J13" s="164" t="s">
        <v>99</v>
      </c>
      <c r="K13" s="162" t="str">
        <f t="shared" ref="K13:K26" ca="1" si="9">IF($A13=0,"-",CONCATENATE(C13&amp;".",IF(AND($A$5&gt;=2,$A13&gt;=2),D13&amp;".",""),IF(AND($A$5&gt;=3,$A13&gt;=3),E13&amp;".",""),IF(AND($A$5&gt;=4,$A13&gt;=4),F13&amp;".",""),IF($A13="S",G13&amp;".","")))</f>
        <v>1.</v>
      </c>
      <c r="L13" s="395"/>
      <c r="M13" s="395"/>
      <c r="N13" s="396" t="s">
        <v>235</v>
      </c>
      <c r="O13" s="397" t="s">
        <v>107</v>
      </c>
      <c r="P13" s="398">
        <v>0</v>
      </c>
      <c r="Q13" s="228"/>
      <c r="R13" s="231" t="s">
        <v>7</v>
      </c>
      <c r="S13" s="121">
        <f t="shared" ref="S13:S26" si="10">IF($A13="S",IF($Q$10="Preço Unitário (R$)",PO.CustoUnitario,ROUND(PO.CustoUnitario*(1+$Z13),15-13*$X$6)),0)</f>
        <v>0</v>
      </c>
      <c r="T13" s="98">
        <f t="shared" ref="T13:T26" ca="1" si="11">IF($A13="S",VTOTAL1,IF($A13=0,0,ROUND(SomaAgrup,15-13*$X$7)))</f>
        <v>0</v>
      </c>
      <c r="U13" s="13" t="str">
        <f t="shared" ref="U13:U26" ca="1" si="12">IF($J13="","",IF($N13="","DESCRIÇÃO",IF(AND($J13="Serviço",$O13=""),"UNIDADE",IF($T13&lt;=0,"SEM VALOR",IF(AND($Y13&lt;&gt;"",$Q13&gt;$Y13),"ACIMA REF.","")))))</f>
        <v>SEM VALOR</v>
      </c>
      <c r="V13" s="4">
        <f ca="1">IF(OR($A13=0,$A13="S",$A13&gt;CFF!$A$9),"",MAX(V$12:OFFSET(V13,-1,0))+1)</f>
        <v>1</v>
      </c>
      <c r="W13" s="9" t="b">
        <f t="shared" ref="W13:W26" si="13">IF(AND($J13="Serviço",$M13&lt;&gt;""),IF($L13="",$M13,CONCATENATE($L13,"-",$M13)))</f>
        <v>0</v>
      </c>
      <c r="X13" s="4" t="str">
        <f t="shared" ref="X13:X26" ca="1" si="14">IF(AND(Fonte&lt;&gt;"",Código&lt;&gt;""),MATCH(Fonte&amp;" "&amp;IF(Fonte="sinapi",SUBSTITUTE(SUBSTITUTE(Código,"/00","/"),"/0","/"),Código),INDIRECT("'[Referência "&amp;_xlnm.Database&amp;".xls]Banco'!$a:$a"),0),"X")</f>
        <v>X</v>
      </c>
      <c r="Y13" s="121">
        <v>0</v>
      </c>
      <c r="Z13" s="132">
        <f ca="1">ROUND(IF(ISNUMBER(R13),R13,IF(LEFT(R13,3)="BDI",HLOOKUP(R13,DADOS!$T$37:$X$38,2,FALSE),0)),15-11*$X$5)</f>
        <v>0.28599999999999998</v>
      </c>
      <c r="AA13" s="4"/>
    </row>
    <row r="14" spans="1:27" x14ac:dyDescent="0.2">
      <c r="A14">
        <f t="shared" si="0"/>
        <v>2</v>
      </c>
      <c r="B14">
        <f t="shared" ca="1" si="1"/>
        <v>2</v>
      </c>
      <c r="C14">
        <f t="shared" ca="1" si="2"/>
        <v>1</v>
      </c>
      <c r="D14">
        <f t="shared" ca="1" si="3"/>
        <v>1</v>
      </c>
      <c r="E14">
        <f t="shared" ca="1" si="4"/>
        <v>0</v>
      </c>
      <c r="F14">
        <f t="shared" ca="1" si="5"/>
        <v>0</v>
      </c>
      <c r="G14">
        <f t="shared" ca="1" si="6"/>
        <v>0</v>
      </c>
      <c r="H14">
        <f t="shared" ca="1" si="7"/>
        <v>15</v>
      </c>
      <c r="I14">
        <f t="shared" ca="1" si="8"/>
        <v>2</v>
      </c>
      <c r="J14" s="394" t="s">
        <v>100</v>
      </c>
      <c r="K14" s="162" t="str">
        <f t="shared" ca="1" si="9"/>
        <v>1.1.</v>
      </c>
      <c r="L14" s="395"/>
      <c r="M14" s="395"/>
      <c r="N14" s="396" t="s">
        <v>247</v>
      </c>
      <c r="O14" s="397" t="s">
        <v>107</v>
      </c>
      <c r="P14" s="398">
        <v>0</v>
      </c>
      <c r="Q14" s="228"/>
      <c r="R14" s="231" t="s">
        <v>7</v>
      </c>
      <c r="S14" s="121">
        <f t="shared" si="10"/>
        <v>0</v>
      </c>
      <c r="T14" s="98">
        <f t="shared" ca="1" si="11"/>
        <v>0</v>
      </c>
      <c r="U14" s="13" t="str">
        <f t="shared" ca="1" si="12"/>
        <v>SEM VALOR</v>
      </c>
      <c r="V14" s="4">
        <f ca="1">IF(OR($A14=0,$A14="S",$A14&gt;CFF!$A$9),"",MAX(V$12:OFFSET(V14,-1,0))+1)</f>
        <v>2</v>
      </c>
      <c r="W14" s="9" t="b">
        <f t="shared" si="13"/>
        <v>0</v>
      </c>
      <c r="X14" s="4" t="str">
        <f t="shared" ca="1" si="14"/>
        <v>X</v>
      </c>
      <c r="Y14" s="121">
        <v>0</v>
      </c>
      <c r="Z14" s="132">
        <f ca="1">ROUND(IF(ISNUMBER(R14),R14,IF(LEFT(R14,3)="BDI",HLOOKUP(R14,DADOS!$T$37:$X$38,2,FALSE),0)),15-11*$X$5)</f>
        <v>0.28599999999999998</v>
      </c>
      <c r="AA14" s="4"/>
    </row>
    <row r="15" spans="1:27" ht="51"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394" t="s">
        <v>103</v>
      </c>
      <c r="K15" s="162" t="str">
        <f t="shared" ca="1" si="9"/>
        <v>1.1.1.</v>
      </c>
      <c r="L15" s="395" t="s">
        <v>240</v>
      </c>
      <c r="M15" s="395" t="s">
        <v>248</v>
      </c>
      <c r="N15" s="396" t="s">
        <v>249</v>
      </c>
      <c r="O15" s="397" t="s">
        <v>250</v>
      </c>
      <c r="P15" s="398">
        <v>1</v>
      </c>
      <c r="Q15" s="228"/>
      <c r="R15" s="231" t="s">
        <v>7</v>
      </c>
      <c r="S15" s="121">
        <f t="shared" si="10"/>
        <v>0</v>
      </c>
      <c r="T15" s="98">
        <f t="shared" si="11"/>
        <v>0</v>
      </c>
      <c r="U15" s="13" t="str">
        <f t="shared" si="12"/>
        <v>SEM VALOR</v>
      </c>
      <c r="V15" s="4" t="str">
        <f ca="1">IF(OR($A15=0,$A15="S",$A15&gt;CFF!$A$9),"",MAX(V$12:OFFSET(V15,-1,0))+1)</f>
        <v/>
      </c>
      <c r="W15" s="9" t="str">
        <f t="shared" si="13"/>
        <v>SEINFRA-ED-28427</v>
      </c>
      <c r="X15" s="4" t="e">
        <f t="shared" ca="1" si="14"/>
        <v>#REF!</v>
      </c>
      <c r="Y15" s="121">
        <v>1689.62</v>
      </c>
      <c r="Z15" s="132">
        <f ca="1">ROUND(IF(ISNUMBER(R15),R15,IF(LEFT(R15,3)="BDI",HLOOKUP(R15,DADOS!$T$37:$X$38,2,FALSE),0)),15-11*$X$5)</f>
        <v>0.28599999999999998</v>
      </c>
      <c r="AA15" s="4"/>
    </row>
    <row r="16" spans="1:27" x14ac:dyDescent="0.2">
      <c r="A16">
        <f t="shared" si="0"/>
        <v>2</v>
      </c>
      <c r="B16">
        <f t="shared" ca="1" si="1"/>
        <v>5</v>
      </c>
      <c r="C16">
        <f t="shared" ca="1" si="2"/>
        <v>1</v>
      </c>
      <c r="D16">
        <f t="shared" ca="1" si="3"/>
        <v>2</v>
      </c>
      <c r="E16">
        <f t="shared" ca="1" si="4"/>
        <v>0</v>
      </c>
      <c r="F16">
        <f t="shared" ca="1" si="5"/>
        <v>0</v>
      </c>
      <c r="G16">
        <f t="shared" ca="1" si="6"/>
        <v>0</v>
      </c>
      <c r="H16">
        <f t="shared" ca="1" si="7"/>
        <v>13</v>
      </c>
      <c r="I16">
        <f t="shared" ca="1" si="8"/>
        <v>5</v>
      </c>
      <c r="J16" s="394" t="s">
        <v>100</v>
      </c>
      <c r="K16" s="162" t="str">
        <f t="shared" ca="1" si="9"/>
        <v>1.2.</v>
      </c>
      <c r="L16" s="395" t="s">
        <v>231</v>
      </c>
      <c r="M16" s="395" t="s">
        <v>232</v>
      </c>
      <c r="N16" s="396" t="s">
        <v>251</v>
      </c>
      <c r="O16" s="397" t="s">
        <v>107</v>
      </c>
      <c r="P16" s="398">
        <v>0.86</v>
      </c>
      <c r="Q16" s="228"/>
      <c r="R16" s="231" t="s">
        <v>7</v>
      </c>
      <c r="S16" s="121">
        <f t="shared" si="10"/>
        <v>0</v>
      </c>
      <c r="T16" s="98">
        <f t="shared" ca="1" si="11"/>
        <v>0</v>
      </c>
      <c r="U16" s="13" t="str">
        <f t="shared" ca="1" si="12"/>
        <v>SEM VALOR</v>
      </c>
      <c r="V16" s="4">
        <f ca="1">IF(OR($A16=0,$A16="S",$A16&gt;CFF!$A$9),"",MAX(V$12:OFFSET(V16,-1,0))+1)</f>
        <v>3</v>
      </c>
      <c r="W16" s="9" t="b">
        <f t="shared" si="13"/>
        <v>0</v>
      </c>
      <c r="X16" s="4" t="e">
        <f t="shared" ca="1" si="14"/>
        <v>#REF!</v>
      </c>
      <c r="Y16" s="121">
        <v>0</v>
      </c>
      <c r="Z16" s="132">
        <f ca="1">ROUND(IF(ISNUMBER(R16),R16,IF(LEFT(R16,3)="BDI",HLOOKUP(R16,DADOS!$T$37:$X$38,2,FALSE),0)),15-11*$X$5)</f>
        <v>0.28599999999999998</v>
      </c>
      <c r="AA16" s="4"/>
    </row>
    <row r="17" spans="1:27" x14ac:dyDescent="0.2">
      <c r="A17" t="str">
        <f t="shared" si="0"/>
        <v>S</v>
      </c>
      <c r="B17">
        <f t="shared" si="1"/>
        <v>0</v>
      </c>
      <c r="C17">
        <f t="shared" ca="1" si="2"/>
        <v>1</v>
      </c>
      <c r="D17">
        <f t="shared" ca="1" si="3"/>
        <v>2</v>
      </c>
      <c r="E17">
        <f t="shared" ca="1" si="4"/>
        <v>0</v>
      </c>
      <c r="F17">
        <f t="shared" ca="1" si="5"/>
        <v>0</v>
      </c>
      <c r="G17">
        <f t="shared" ca="1" si="6"/>
        <v>1</v>
      </c>
      <c r="H17">
        <f t="shared" ca="1" si="7"/>
        <v>0</v>
      </c>
      <c r="I17">
        <f t="shared" ca="1" si="8"/>
        <v>0</v>
      </c>
      <c r="J17" s="394" t="s">
        <v>103</v>
      </c>
      <c r="K17" s="162" t="str">
        <f t="shared" ca="1" si="9"/>
        <v>1.2.1.</v>
      </c>
      <c r="L17" s="395" t="s">
        <v>240</v>
      </c>
      <c r="M17" s="395" t="s">
        <v>252</v>
      </c>
      <c r="N17" s="396" t="s">
        <v>253</v>
      </c>
      <c r="O17" s="397" t="s">
        <v>254</v>
      </c>
      <c r="P17" s="398">
        <v>6916.36</v>
      </c>
      <c r="Q17" s="228"/>
      <c r="R17" s="231" t="s">
        <v>7</v>
      </c>
      <c r="S17" s="121">
        <f t="shared" si="10"/>
        <v>0</v>
      </c>
      <c r="T17" s="98">
        <f t="shared" si="11"/>
        <v>0</v>
      </c>
      <c r="U17" s="13" t="str">
        <f t="shared" si="12"/>
        <v>SEM VALOR</v>
      </c>
      <c r="V17" s="4" t="str">
        <f ca="1">IF(OR($A17=0,$A17="S",$A17&gt;CFF!$A$9),"",MAX(V$12:OFFSET(V17,-1,0))+1)</f>
        <v/>
      </c>
      <c r="W17" s="9" t="str">
        <f t="shared" si="13"/>
        <v>SEINFRA-RO-51229</v>
      </c>
      <c r="X17" s="4" t="e">
        <f t="shared" ca="1" si="14"/>
        <v>#REF!</v>
      </c>
      <c r="Y17" s="121">
        <v>2.79</v>
      </c>
      <c r="Z17" s="132">
        <f ca="1">ROUND(IF(ISNUMBER(R17),R17,IF(LEFT(R17,3)="BDI",HLOOKUP(R17,DADOS!$T$37:$X$38,2,FALSE),0)),15-11*$X$5)</f>
        <v>0.28599999999999998</v>
      </c>
      <c r="AA17" s="4"/>
    </row>
    <row r="18" spans="1:27" x14ac:dyDescent="0.2">
      <c r="A18" t="str">
        <f t="shared" si="0"/>
        <v>S</v>
      </c>
      <c r="B18">
        <f t="shared" si="1"/>
        <v>0</v>
      </c>
      <c r="C18">
        <f t="shared" ca="1" si="2"/>
        <v>1</v>
      </c>
      <c r="D18">
        <f t="shared" ca="1" si="3"/>
        <v>2</v>
      </c>
      <c r="E18">
        <f t="shared" ca="1" si="4"/>
        <v>0</v>
      </c>
      <c r="F18">
        <f t="shared" ca="1" si="5"/>
        <v>0</v>
      </c>
      <c r="G18">
        <f t="shared" ca="1" si="6"/>
        <v>2</v>
      </c>
      <c r="H18">
        <f t="shared" ca="1" si="7"/>
        <v>0</v>
      </c>
      <c r="I18">
        <f t="shared" ca="1" si="8"/>
        <v>0</v>
      </c>
      <c r="J18" s="394" t="s">
        <v>103</v>
      </c>
      <c r="K18" s="162" t="str">
        <f t="shared" ca="1" si="9"/>
        <v>1.2.2.</v>
      </c>
      <c r="L18" s="395" t="s">
        <v>240</v>
      </c>
      <c r="M18" s="395" t="s">
        <v>255</v>
      </c>
      <c r="N18" s="396" t="s">
        <v>256</v>
      </c>
      <c r="O18" s="397" t="s">
        <v>257</v>
      </c>
      <c r="P18" s="398">
        <v>1123.216864</v>
      </c>
      <c r="Q18" s="228"/>
      <c r="R18" s="231" t="s">
        <v>7</v>
      </c>
      <c r="S18" s="121">
        <f t="shared" si="10"/>
        <v>0</v>
      </c>
      <c r="T18" s="98">
        <f t="shared" si="11"/>
        <v>0</v>
      </c>
      <c r="U18" s="13" t="str">
        <f t="shared" si="12"/>
        <v>SEM VALOR</v>
      </c>
      <c r="V18" s="4" t="str">
        <f ca="1">IF(OR($A18=0,$A18="S",$A18&gt;CFF!$A$9),"",MAX(V$12:OFFSET(V18,-1,0))+1)</f>
        <v/>
      </c>
      <c r="W18" s="9" t="str">
        <f t="shared" si="13"/>
        <v>SEINFRA-RO-41376</v>
      </c>
      <c r="X18" s="4" t="e">
        <f t="shared" ca="1" si="14"/>
        <v>#REF!</v>
      </c>
      <c r="Y18" s="121">
        <v>1.03</v>
      </c>
      <c r="Z18" s="132">
        <f ca="1">ROUND(IF(ISNUMBER(R18),R18,IF(LEFT(R18,3)="BDI",HLOOKUP(R18,DADOS!$T$37:$X$38,2,FALSE),0)),15-11*$X$5)</f>
        <v>0.28599999999999998</v>
      </c>
      <c r="AA18" s="4"/>
    </row>
    <row r="19" spans="1:27" ht="38.25" x14ac:dyDescent="0.2">
      <c r="A19" t="str">
        <f t="shared" si="0"/>
        <v>S</v>
      </c>
      <c r="B19">
        <f t="shared" si="1"/>
        <v>0</v>
      </c>
      <c r="C19">
        <f t="shared" ca="1" si="2"/>
        <v>1</v>
      </c>
      <c r="D19">
        <f t="shared" ca="1" si="3"/>
        <v>2</v>
      </c>
      <c r="E19">
        <f t="shared" ca="1" si="4"/>
        <v>0</v>
      </c>
      <c r="F19">
        <f t="shared" ca="1" si="5"/>
        <v>0</v>
      </c>
      <c r="G19">
        <f t="shared" ca="1" si="6"/>
        <v>3</v>
      </c>
      <c r="H19">
        <f t="shared" ca="1" si="7"/>
        <v>0</v>
      </c>
      <c r="I19">
        <f t="shared" ca="1" si="8"/>
        <v>0</v>
      </c>
      <c r="J19" s="394" t="s">
        <v>103</v>
      </c>
      <c r="K19" s="162" t="str">
        <f t="shared" ca="1" si="9"/>
        <v>1.2.3.</v>
      </c>
      <c r="L19" s="395" t="s">
        <v>240</v>
      </c>
      <c r="M19" s="395" t="s">
        <v>258</v>
      </c>
      <c r="N19" s="396" t="s">
        <v>259</v>
      </c>
      <c r="O19" s="397" t="s">
        <v>233</v>
      </c>
      <c r="P19" s="398">
        <v>172.90899999999999</v>
      </c>
      <c r="Q19" s="228"/>
      <c r="R19" s="231" t="s">
        <v>7</v>
      </c>
      <c r="S19" s="121">
        <f t="shared" si="10"/>
        <v>0</v>
      </c>
      <c r="T19" s="98">
        <f t="shared" si="11"/>
        <v>0</v>
      </c>
      <c r="U19" s="13" t="str">
        <f t="shared" si="12"/>
        <v>SEM VALOR</v>
      </c>
      <c r="V19" s="4" t="str">
        <f ca="1">IF(OR($A19=0,$A19="S",$A19&gt;CFF!$A$9),"",MAX(V$12:OFFSET(V19,-1,0))+1)</f>
        <v/>
      </c>
      <c r="W19" s="9" t="str">
        <f t="shared" si="13"/>
        <v>SEINFRA-ED-7623</v>
      </c>
      <c r="X19" s="4" t="e">
        <f t="shared" ca="1" si="14"/>
        <v>#REF!</v>
      </c>
      <c r="Y19" s="121">
        <v>1801.52</v>
      </c>
      <c r="Z19" s="132">
        <f ca="1">ROUND(IF(ISNUMBER(R19),R19,IF(LEFT(R19,3)="BDI",HLOOKUP(R19,DADOS!$T$37:$X$38,2,FALSE),0)),15-11*$X$5)</f>
        <v>0.28599999999999998</v>
      </c>
      <c r="AA19" s="4"/>
    </row>
    <row r="20" spans="1:27" ht="25.5" x14ac:dyDescent="0.2">
      <c r="A20" t="str">
        <f t="shared" si="0"/>
        <v>S</v>
      </c>
      <c r="B20">
        <f t="shared" si="1"/>
        <v>0</v>
      </c>
      <c r="C20">
        <f t="shared" ca="1" si="2"/>
        <v>1</v>
      </c>
      <c r="D20">
        <f t="shared" ca="1" si="3"/>
        <v>2</v>
      </c>
      <c r="E20">
        <f t="shared" ca="1" si="4"/>
        <v>0</v>
      </c>
      <c r="F20">
        <f t="shared" ca="1" si="5"/>
        <v>0</v>
      </c>
      <c r="G20">
        <f t="shared" ca="1" si="6"/>
        <v>4</v>
      </c>
      <c r="H20">
        <f t="shared" ca="1" si="7"/>
        <v>0</v>
      </c>
      <c r="I20">
        <f t="shared" ca="1" si="8"/>
        <v>0</v>
      </c>
      <c r="J20" s="394" t="s">
        <v>103</v>
      </c>
      <c r="K20" s="162" t="str">
        <f t="shared" ca="1" si="9"/>
        <v>1.2.4.</v>
      </c>
      <c r="L20" s="395" t="s">
        <v>240</v>
      </c>
      <c r="M20" s="395" t="s">
        <v>260</v>
      </c>
      <c r="N20" s="396" t="s">
        <v>261</v>
      </c>
      <c r="O20" s="397" t="s">
        <v>262</v>
      </c>
      <c r="P20" s="398">
        <v>5412.0517</v>
      </c>
      <c r="Q20" s="228"/>
      <c r="R20" s="231" t="s">
        <v>7</v>
      </c>
      <c r="S20" s="121">
        <f t="shared" si="10"/>
        <v>0</v>
      </c>
      <c r="T20" s="98">
        <f t="shared" si="11"/>
        <v>0</v>
      </c>
      <c r="U20" s="13" t="str">
        <f t="shared" si="12"/>
        <v>SEM VALOR</v>
      </c>
      <c r="V20" s="4" t="str">
        <f ca="1">IF(OR($A20=0,$A20="S",$A20&gt;CFF!$A$9),"",MAX(V$12:OFFSET(V20,-1,0))+1)</f>
        <v/>
      </c>
      <c r="W20" s="9" t="str">
        <f t="shared" si="13"/>
        <v>SEINFRA-RO-14036</v>
      </c>
      <c r="X20" s="4" t="e">
        <f t="shared" ca="1" si="14"/>
        <v>#REF!</v>
      </c>
      <c r="Y20" s="121">
        <v>2.65</v>
      </c>
      <c r="Z20" s="132">
        <f ca="1">ROUND(IF(ISNUMBER(R20),R20,IF(LEFT(R20,3)="BDI",HLOOKUP(R20,DADOS!$T$37:$X$38,2,FALSE),0)),15-11*$X$5)</f>
        <v>0.28599999999999998</v>
      </c>
      <c r="AA20" s="4"/>
    </row>
    <row r="21" spans="1:27" x14ac:dyDescent="0.2">
      <c r="A21">
        <f t="shared" si="0"/>
        <v>2</v>
      </c>
      <c r="B21">
        <f t="shared" ca="1" si="1"/>
        <v>4</v>
      </c>
      <c r="C21">
        <f t="shared" ca="1" si="2"/>
        <v>1</v>
      </c>
      <c r="D21">
        <f t="shared" ca="1" si="3"/>
        <v>3</v>
      </c>
      <c r="E21">
        <f t="shared" ca="1" si="4"/>
        <v>0</v>
      </c>
      <c r="F21">
        <f t="shared" ca="1" si="5"/>
        <v>0</v>
      </c>
      <c r="G21">
        <f t="shared" ca="1" si="6"/>
        <v>0</v>
      </c>
      <c r="H21">
        <f t="shared" ca="1" si="7"/>
        <v>8</v>
      </c>
      <c r="I21">
        <f t="shared" ca="1" si="8"/>
        <v>4</v>
      </c>
      <c r="J21" s="394" t="s">
        <v>100</v>
      </c>
      <c r="K21" s="162" t="str">
        <f t="shared" ca="1" si="9"/>
        <v>1.3.</v>
      </c>
      <c r="L21" s="395"/>
      <c r="M21" s="395"/>
      <c r="N21" s="396" t="s">
        <v>263</v>
      </c>
      <c r="O21" s="397" t="s">
        <v>107</v>
      </c>
      <c r="P21" s="398">
        <v>0</v>
      </c>
      <c r="Q21" s="228"/>
      <c r="R21" s="231" t="s">
        <v>7</v>
      </c>
      <c r="S21" s="121">
        <f t="shared" si="10"/>
        <v>0</v>
      </c>
      <c r="T21" s="98">
        <f t="shared" ca="1" si="11"/>
        <v>0</v>
      </c>
      <c r="U21" s="13" t="str">
        <f t="shared" ca="1" si="12"/>
        <v>SEM VALOR</v>
      </c>
      <c r="V21" s="4">
        <f ca="1">IF(OR($A21=0,$A21="S",$A21&gt;CFF!$A$9),"",MAX(V$12:OFFSET(V21,-1,0))+1)</f>
        <v>4</v>
      </c>
      <c r="W21" s="9" t="b">
        <f t="shared" si="13"/>
        <v>0</v>
      </c>
      <c r="X21" s="4" t="str">
        <f t="shared" ca="1" si="14"/>
        <v>X</v>
      </c>
      <c r="Y21" s="121">
        <v>0</v>
      </c>
      <c r="Z21" s="132">
        <f ca="1">ROUND(IF(ISNUMBER(R21),R21,IF(LEFT(R21,3)="BDI",HLOOKUP(R21,DADOS!$T$37:$X$38,2,FALSE),0)),15-11*$X$5)</f>
        <v>0.28599999999999998</v>
      </c>
      <c r="AA21" s="4"/>
    </row>
    <row r="22" spans="1:27" ht="25.5" x14ac:dyDescent="0.2">
      <c r="A22" t="str">
        <f t="shared" si="0"/>
        <v>S</v>
      </c>
      <c r="B22">
        <f t="shared" si="1"/>
        <v>0</v>
      </c>
      <c r="C22">
        <f t="shared" ca="1" si="2"/>
        <v>1</v>
      </c>
      <c r="D22">
        <f t="shared" ca="1" si="3"/>
        <v>3</v>
      </c>
      <c r="E22">
        <f t="shared" ca="1" si="4"/>
        <v>0</v>
      </c>
      <c r="F22">
        <f t="shared" ca="1" si="5"/>
        <v>0</v>
      </c>
      <c r="G22">
        <f t="shared" ca="1" si="6"/>
        <v>1</v>
      </c>
      <c r="H22">
        <f t="shared" ca="1" si="7"/>
        <v>0</v>
      </c>
      <c r="I22">
        <f t="shared" ca="1" si="8"/>
        <v>0</v>
      </c>
      <c r="J22" s="394" t="s">
        <v>103</v>
      </c>
      <c r="K22" s="162" t="str">
        <f t="shared" ca="1" si="9"/>
        <v>1.3.1.</v>
      </c>
      <c r="L22" s="395" t="s">
        <v>240</v>
      </c>
      <c r="M22" s="395" t="s">
        <v>264</v>
      </c>
      <c r="N22" s="396" t="s">
        <v>265</v>
      </c>
      <c r="O22" s="397" t="s">
        <v>254</v>
      </c>
      <c r="P22" s="398">
        <v>68.8</v>
      </c>
      <c r="Q22" s="228"/>
      <c r="R22" s="231" t="s">
        <v>7</v>
      </c>
      <c r="S22" s="121">
        <f t="shared" si="10"/>
        <v>0</v>
      </c>
      <c r="T22" s="98">
        <f t="shared" si="11"/>
        <v>0</v>
      </c>
      <c r="U22" s="13" t="str">
        <f t="shared" si="12"/>
        <v>SEM VALOR</v>
      </c>
      <c r="V22" s="4" t="str">
        <f ca="1">IF(OR($A22=0,$A22="S",$A22&gt;CFF!$A$9),"",MAX(V$12:OFFSET(V22,-1,0))+1)</f>
        <v/>
      </c>
      <c r="W22" s="9" t="str">
        <f t="shared" si="13"/>
        <v>SEINFRA-RO-41243</v>
      </c>
      <c r="X22" s="4" t="e">
        <f t="shared" ca="1" si="14"/>
        <v>#REF!</v>
      </c>
      <c r="Y22" s="121">
        <v>32.47</v>
      </c>
      <c r="Z22" s="132">
        <f ca="1">ROUND(IF(ISNUMBER(R22),R22,IF(LEFT(R22,3)="BDI",HLOOKUP(R22,DADOS!$T$37:$X$38,2,FALSE),0)),15-11*$X$5)</f>
        <v>0.28599999999999998</v>
      </c>
      <c r="AA22" s="4"/>
    </row>
    <row r="23" spans="1:27" ht="25.5" x14ac:dyDescent="0.2">
      <c r="A23" t="str">
        <f>CHOOSE(1+LOG(1+2*(J23="Meta")+4*(J23="Nível 2")+8*(J23="Nível 3")+16*(J23="Nível 4")+32*(J23="Serviço"),2),0,1,2,3,4,"S")</f>
        <v>S</v>
      </c>
      <c r="B23">
        <f>IF(OR(A23="S",A23=0),0,IF(ISERROR(I23),H23,SMALL(H23:I23,1)))</f>
        <v>0</v>
      </c>
      <c r="C23">
        <f ca="1">IF($A23=1,OFFSET(C23,-1,0)+1,OFFSET(C23,-1,0))</f>
        <v>1</v>
      </c>
      <c r="D23">
        <f ca="1">IF($A23=1,0,IF($A23=2,OFFSET(D23,-1,0)+1,OFFSET(D23,-1,0)))</f>
        <v>3</v>
      </c>
      <c r="E23">
        <f ca="1">IF(AND($A23&lt;=2,$A23&lt;&gt;0),0,IF($A23=3,OFFSET(E23,-1,0)+1,OFFSET(E23,-1,0)))</f>
        <v>0</v>
      </c>
      <c r="F23">
        <f ca="1">IF(AND($A23&lt;=3,$A23&lt;&gt;0),0,IF($A23=4,OFFSET(F23,-1,0)+1,OFFSET(F23,-1,0)))</f>
        <v>0</v>
      </c>
      <c r="G23">
        <f ca="1">IF(AND($A23&lt;=4,$A23&lt;&gt;0),0,IF($A23="S",OFFSET(G23,-1,0)+1,OFFSET(G23,-1,0)))</f>
        <v>2</v>
      </c>
      <c r="H23">
        <f t="shared" ca="1" si="7"/>
        <v>0</v>
      </c>
      <c r="I23">
        <f t="shared" ca="1" si="8"/>
        <v>0</v>
      </c>
      <c r="J23" s="394" t="s">
        <v>103</v>
      </c>
      <c r="K23" s="162" t="str">
        <f ca="1">IF($A23=0,"-",CONCATENATE(C23&amp;".",IF(AND($A$5&gt;=2,$A23&gt;=2),D23&amp;".",""),IF(AND($A$5&gt;=3,$A23&gt;=3),E23&amp;".",""),IF(AND($A$5&gt;=4,$A23&gt;=4),F23&amp;".",""),IF($A23="S",G23&amp;".","")))</f>
        <v>1.3.2.</v>
      </c>
      <c r="L23" s="395" t="s">
        <v>240</v>
      </c>
      <c r="M23" s="395" t="s">
        <v>266</v>
      </c>
      <c r="N23" s="396" t="s">
        <v>267</v>
      </c>
      <c r="O23" s="397" t="s">
        <v>254</v>
      </c>
      <c r="P23" s="398">
        <v>27.17</v>
      </c>
      <c r="Q23" s="228"/>
      <c r="R23" s="231" t="s">
        <v>7</v>
      </c>
      <c r="S23" s="121">
        <f>IF($A23="S",IF($Q$10="Preço Unitário (R$)",PO.CustoUnitario,ROUND(PO.CustoUnitario*(1+$Z23),15-13*$X$6)),0)</f>
        <v>0</v>
      </c>
      <c r="T23" s="98">
        <f>IF($A23="S",VTOTAL1,IF($A23=0,0,ROUND(SomaAgrup,15-13*$X$7)))</f>
        <v>0</v>
      </c>
      <c r="U23" s="13" t="str">
        <f>IF($J23="","",IF($N23="","DESCRIÇÃO",IF(AND($J23="Serviço",$O23=""),"UNIDADE",IF($T23&lt;=0,"SEM VALOR",IF(AND($Y23&lt;&gt;"",$Q23&gt;$Y23),"ACIMA REF.","")))))</f>
        <v>SEM VALOR</v>
      </c>
      <c r="V23" s="4" t="str">
        <f ca="1">IF(OR($A23=0,$A23="S",$A23&gt;CFF!$A$9),"",MAX(V$12:OFFSET(V23,-1,0))+1)</f>
        <v/>
      </c>
      <c r="W23" s="9" t="str">
        <f>IF(AND($J23="Serviço",$M23&lt;&gt;""),IF($L23="",$M23,CONCATENATE($L23,"-",$M23)))</f>
        <v>SEINFRA-RO-41779</v>
      </c>
      <c r="X23" s="4" t="e">
        <f ca="1">IF(AND(Fonte&lt;&gt;"",Código&lt;&gt;""),MATCH(Fonte&amp;" "&amp;IF(Fonte="sinapi",SUBSTITUTE(SUBSTITUTE(Código,"/00","/"),"/0","/"),Código),INDIRECT("'[Referência "&amp;_xlnm.Database&amp;".xls]Banco'!$a:$a"),0),"X")</f>
        <v>#REF!</v>
      </c>
      <c r="Y23" s="121">
        <v>48.7</v>
      </c>
      <c r="Z23" s="132">
        <f ca="1">ROUND(IF(ISNUMBER(R23),R23,IF(LEFT(R23,3)="BDI",HLOOKUP(R23,DADOS!$T$37:$X$38,2,FALSE),0)),15-11*$X$5)</f>
        <v>0.28599999999999998</v>
      </c>
      <c r="AA23" s="4"/>
    </row>
    <row r="24" spans="1:27" ht="25.5" x14ac:dyDescent="0.2">
      <c r="A24" t="str">
        <f>CHOOSE(1+LOG(1+2*(J24="Meta")+4*(J24="Nível 2")+8*(J24="Nível 3")+16*(J24="Nível 4")+32*(J24="Serviço"),2),0,1,2,3,4,"S")</f>
        <v>S</v>
      </c>
      <c r="B24">
        <f>IF(OR(A24="S",A24=0),0,IF(ISERROR(I24),H24,SMALL(H24:I24,1)))</f>
        <v>0</v>
      </c>
      <c r="C24">
        <f ca="1">IF($A24=1,OFFSET(C24,-1,0)+1,OFFSET(C24,-1,0))</f>
        <v>1</v>
      </c>
      <c r="D24">
        <f ca="1">IF($A24=1,0,IF($A24=2,OFFSET(D24,-1,0)+1,OFFSET(D24,-1,0)))</f>
        <v>3</v>
      </c>
      <c r="E24">
        <f ca="1">IF(AND($A24&lt;=2,$A24&lt;&gt;0),0,IF($A24=3,OFFSET(E24,-1,0)+1,OFFSET(E24,-1,0)))</f>
        <v>0</v>
      </c>
      <c r="F24">
        <f ca="1">IF(AND($A24&lt;=3,$A24&lt;&gt;0),0,IF($A24=4,OFFSET(F24,-1,0)+1,OFFSET(F24,-1,0)))</f>
        <v>0</v>
      </c>
      <c r="G24">
        <f ca="1">IF(AND($A24&lt;=4,$A24&lt;&gt;0),0,IF($A24="S",OFFSET(G24,-1,0)+1,OFFSET(G24,-1,0)))</f>
        <v>3</v>
      </c>
      <c r="H24">
        <f t="shared" ca="1" si="7"/>
        <v>0</v>
      </c>
      <c r="I24">
        <f t="shared" ca="1" si="8"/>
        <v>0</v>
      </c>
      <c r="J24" s="394" t="s">
        <v>103</v>
      </c>
      <c r="K24" s="162" t="str">
        <f ca="1">IF($A24=0,"-",CONCATENATE(C24&amp;".",IF(AND($A$5&gt;=2,$A24&gt;=2),D24&amp;".",""),IF(AND($A$5&gt;=3,$A24&gt;=3),E24&amp;".",""),IF(AND($A$5&gt;=4,$A24&gt;=4),F24&amp;".",""),IF($A24="S",G24&amp;".","")))</f>
        <v>1.3.3.</v>
      </c>
      <c r="L24" s="395" t="s">
        <v>240</v>
      </c>
      <c r="M24" s="395" t="s">
        <v>268</v>
      </c>
      <c r="N24" s="396" t="s">
        <v>269</v>
      </c>
      <c r="O24" s="397" t="s">
        <v>270</v>
      </c>
      <c r="P24" s="398">
        <v>13</v>
      </c>
      <c r="Q24" s="228"/>
      <c r="R24" s="231" t="s">
        <v>7</v>
      </c>
      <c r="S24" s="121">
        <f>IF($A24="S",IF($Q$10="Preço Unitário (R$)",PO.CustoUnitario,ROUND(PO.CustoUnitario*(1+$Z24),15-13*$X$6)),0)</f>
        <v>0</v>
      </c>
      <c r="T24" s="98">
        <f>IF($A24="S",VTOTAL1,IF($A24=0,0,ROUND(SomaAgrup,15-13*$X$7)))</f>
        <v>0</v>
      </c>
      <c r="U24" s="13" t="str">
        <f>IF($J24="","",IF($N24="","DESCRIÇÃO",IF(AND($J24="Serviço",$O24=""),"UNIDADE",IF($T24&lt;=0,"SEM VALOR",IF(AND($Y24&lt;&gt;"",$Q24&gt;$Y24),"ACIMA REF.","")))))</f>
        <v>SEM VALOR</v>
      </c>
      <c r="V24" s="4" t="str">
        <f ca="1">IF(OR($A24=0,$A24="S",$A24&gt;CFF!$A$9),"",MAX(V$12:OFFSET(V24,-1,0))+1)</f>
        <v/>
      </c>
      <c r="W24" s="9" t="str">
        <f>IF(AND($J24="Serviço",$M24&lt;&gt;""),IF($L24="",$M24,CONCATENATE($L24,"-",$M24)))</f>
        <v>SEINFRA-RO-41237</v>
      </c>
      <c r="X24" s="4" t="e">
        <f ca="1">IF(AND(Fonte&lt;&gt;"",Código&lt;&gt;""),MATCH(Fonte&amp;" "&amp;IF(Fonte="sinapi",SUBSTITUTE(SUBSTITUTE(Código,"/00","/"),"/0","/"),Código),INDIRECT("'[Referência "&amp;_xlnm.Database&amp;".xls]Banco'!$a:$a"),0),"X")</f>
        <v>#REF!</v>
      </c>
      <c r="Y24" s="121">
        <v>3.37</v>
      </c>
      <c r="Z24" s="132">
        <f ca="1">ROUND(IF(ISNUMBER(R24),R24,IF(LEFT(R24,3)="BDI",HLOOKUP(R24,DADOS!$T$37:$X$38,2,FALSE),0)),15-11*$X$5)</f>
        <v>0.28599999999999998</v>
      </c>
      <c r="AA24" s="4"/>
    </row>
    <row r="25" spans="1:27" x14ac:dyDescent="0.2">
      <c r="A25">
        <f>CHOOSE(1+LOG(1+2*(J25="Meta")+4*(J25="Nível 2")+8*(J25="Nível 3")+16*(J25="Nível 4")+32*(J25="Serviço"),2),0,1,2,3,4,"S")</f>
        <v>2</v>
      </c>
      <c r="B25">
        <f ca="1">IF(OR(A25="S",A25=0),0,IF(ISERROR(I25),H25,SMALL(H25:I25,1)))</f>
        <v>4</v>
      </c>
      <c r="C25">
        <f ca="1">IF($A25=1,OFFSET(C25,-1,0)+1,OFFSET(C25,-1,0))</f>
        <v>1</v>
      </c>
      <c r="D25">
        <f ca="1">IF($A25=1,0,IF($A25=2,OFFSET(D25,-1,0)+1,OFFSET(D25,-1,0)))</f>
        <v>4</v>
      </c>
      <c r="E25">
        <f ca="1">IF(AND($A25&lt;=2,$A25&lt;&gt;0),0,IF($A25=3,OFFSET(E25,-1,0)+1,OFFSET(E25,-1,0)))</f>
        <v>0</v>
      </c>
      <c r="F25">
        <f ca="1">IF(AND($A25&lt;=3,$A25&lt;&gt;0),0,IF($A25=4,OFFSET(F25,-1,0)+1,OFFSET(F25,-1,0)))</f>
        <v>0</v>
      </c>
      <c r="G25">
        <f ca="1">IF(AND($A25&lt;=4,$A25&lt;&gt;0),0,IF($A25="S",OFFSET(G25,-1,0)+1,OFFSET(G25,-1,0)))</f>
        <v>0</v>
      </c>
      <c r="H25">
        <f t="shared" ca="1" si="7"/>
        <v>4</v>
      </c>
      <c r="I25" t="e">
        <f t="shared" ca="1" si="8"/>
        <v>#N/A</v>
      </c>
      <c r="J25" s="394" t="s">
        <v>100</v>
      </c>
      <c r="K25" s="162" t="str">
        <f ca="1">IF($A25=0,"-",CONCATENATE(C25&amp;".",IF(AND($A$5&gt;=2,$A25&gt;=2),D25&amp;".",""),IF(AND($A$5&gt;=3,$A25&gt;=3),E25&amp;".",""),IF(AND($A$5&gt;=4,$A25&gt;=4),F25&amp;".",""),IF($A25="S",G25&amp;".","")))</f>
        <v>1.4.</v>
      </c>
      <c r="L25" s="395" t="s">
        <v>240</v>
      </c>
      <c r="M25" s="395" t="s">
        <v>241</v>
      </c>
      <c r="N25" s="396" t="s">
        <v>234</v>
      </c>
      <c r="O25" s="397" t="s">
        <v>233</v>
      </c>
      <c r="P25" s="398">
        <v>397.88</v>
      </c>
      <c r="Q25" s="228"/>
      <c r="R25" s="231" t="s">
        <v>7</v>
      </c>
      <c r="S25" s="121">
        <f>IF($A25="S",IF($Q$10="Preço Unitário (R$)",PO.CustoUnitario,ROUND(PO.CustoUnitario*(1+$Z25),15-13*$X$6)),0)</f>
        <v>0</v>
      </c>
      <c r="T25" s="98">
        <f ca="1">IF($A25="S",VTOTAL1,IF($A25=0,0,ROUND(SomaAgrup,15-13*$X$7)))</f>
        <v>0</v>
      </c>
      <c r="U25" s="13" t="str">
        <f ca="1">IF($J25="","",IF($N25="","DESCRIÇÃO",IF(AND($J25="Serviço",$O25=""),"UNIDADE",IF($T25&lt;=0,"SEM VALOR",IF(AND($Y25&lt;&gt;"",$Q25&gt;$Y25),"ACIMA REF.","")))))</f>
        <v>SEM VALOR</v>
      </c>
      <c r="V25" s="4">
        <f ca="1">IF(OR($A25=0,$A25="S",$A25&gt;CFF!$A$9),"",MAX(V$12:OFFSET(V25,-1,0))+1)</f>
        <v>5</v>
      </c>
      <c r="W25" s="9" t="b">
        <f>IF(AND($J25="Serviço",$M25&lt;&gt;""),IF($L25="",$M25,CONCATENATE($L25,"-",$M25)))</f>
        <v>0</v>
      </c>
      <c r="X25" s="4" t="e">
        <f ca="1">IF(AND(Fonte&lt;&gt;"",Código&lt;&gt;""),MATCH(Fonte&amp;" "&amp;IF(Fonte="sinapi",SUBSTITUTE(SUBSTITUTE(Código,"/00","/"),"/0","/"),Código),INDIRECT("'[Referência "&amp;_xlnm.Database&amp;".xls]Banco'!$a:$a"),0),"X")</f>
        <v>#REF!</v>
      </c>
      <c r="Y25" s="121">
        <v>0</v>
      </c>
      <c r="Z25" s="132">
        <f ca="1">ROUND(IF(ISNUMBER(R25),R25,IF(LEFT(R25,3)="BDI",HLOOKUP(R25,DADOS!$T$37:$X$38,2,FALSE),0)),15-11*$X$5)</f>
        <v>0.28599999999999998</v>
      </c>
      <c r="AA25" s="4"/>
    </row>
    <row r="26" spans="1:27" ht="25.5" x14ac:dyDescent="0.2">
      <c r="A26" t="str">
        <f t="shared" si="0"/>
        <v>S</v>
      </c>
      <c r="B26">
        <f t="shared" si="1"/>
        <v>0</v>
      </c>
      <c r="C26">
        <f t="shared" ca="1" si="2"/>
        <v>1</v>
      </c>
      <c r="D26">
        <f t="shared" ca="1" si="3"/>
        <v>4</v>
      </c>
      <c r="E26">
        <f t="shared" ca="1" si="4"/>
        <v>0</v>
      </c>
      <c r="F26">
        <f t="shared" ca="1" si="5"/>
        <v>0</v>
      </c>
      <c r="G26">
        <f t="shared" ca="1" si="6"/>
        <v>1</v>
      </c>
      <c r="H26">
        <f t="shared" ca="1" si="7"/>
        <v>0</v>
      </c>
      <c r="I26">
        <f t="shared" ca="1" si="8"/>
        <v>0</v>
      </c>
      <c r="J26" s="394" t="s">
        <v>103</v>
      </c>
      <c r="K26" s="162" t="str">
        <f t="shared" ca="1" si="9"/>
        <v>1.4.1.</v>
      </c>
      <c r="L26" s="395" t="s">
        <v>240</v>
      </c>
      <c r="M26" s="395" t="s">
        <v>271</v>
      </c>
      <c r="N26" s="396" t="s">
        <v>272</v>
      </c>
      <c r="O26" s="397" t="s">
        <v>254</v>
      </c>
      <c r="P26" s="398">
        <v>389.47</v>
      </c>
      <c r="Q26" s="228"/>
      <c r="R26" s="231" t="s">
        <v>7</v>
      </c>
      <c r="S26" s="121">
        <f t="shared" si="10"/>
        <v>0</v>
      </c>
      <c r="T26" s="98">
        <f t="shared" si="11"/>
        <v>0</v>
      </c>
      <c r="U26" s="13" t="str">
        <f t="shared" si="12"/>
        <v>SEM VALOR</v>
      </c>
      <c r="V26" s="4" t="str">
        <f ca="1">IF(OR($A26=0,$A26="S",$A26&gt;CFF!$A$9),"",MAX(V$12:OFFSET(V26,-1,0))+1)</f>
        <v/>
      </c>
      <c r="W26" s="9" t="str">
        <f t="shared" si="13"/>
        <v>SEINFRA-ED-48507</v>
      </c>
      <c r="X26" s="4" t="e">
        <f t="shared" ca="1" si="14"/>
        <v>#REF!</v>
      </c>
      <c r="Y26" s="121">
        <v>10.85</v>
      </c>
      <c r="Z26" s="132">
        <f ca="1">ROUND(IF(ISNUMBER(R26),R26,IF(LEFT(R26,3)="BDI",HLOOKUP(R26,DADOS!$T$37:$X$38,2,FALSE),0)),15-11*$X$5)</f>
        <v>0.28599999999999998</v>
      </c>
      <c r="AA26" s="4"/>
    </row>
    <row r="27" spans="1:27" ht="25.5" x14ac:dyDescent="0.2">
      <c r="A27" t="str">
        <f t="shared" ref="A27:A28" si="15">CHOOSE(1+LOG(1+2*(J27="Meta")+4*(J27="Nível 2")+8*(J27="Nível 3")+16*(J27="Nível 4")+32*(J27="Serviço"),2),0,1,2,3,4,"S")</f>
        <v>S</v>
      </c>
      <c r="B27">
        <f t="shared" ref="B27:B28" si="16">IF(OR(A27="S",A27=0),0,IF(ISERROR(I27),H27,SMALL(H27:I27,1)))</f>
        <v>0</v>
      </c>
      <c r="C27">
        <f t="shared" ref="C27:C28" ca="1" si="17">IF($A27=1,OFFSET(C27,-1,0)+1,OFFSET(C27,-1,0))</f>
        <v>1</v>
      </c>
      <c r="D27">
        <f t="shared" ref="D27:D28" ca="1" si="18">IF($A27=1,0,IF($A27=2,OFFSET(D27,-1,0)+1,OFFSET(D27,-1,0)))</f>
        <v>4</v>
      </c>
      <c r="E27">
        <f t="shared" ref="E27:E28" ca="1" si="19">IF(AND($A27&lt;=2,$A27&lt;&gt;0),0,IF($A27=3,OFFSET(E27,-1,0)+1,OFFSET(E27,-1,0)))</f>
        <v>0</v>
      </c>
      <c r="F27">
        <f t="shared" ref="F27:F28" ca="1" si="20">IF(AND($A27&lt;=3,$A27&lt;&gt;0),0,IF($A27=4,OFFSET(F27,-1,0)+1,OFFSET(F27,-1,0)))</f>
        <v>0</v>
      </c>
      <c r="G27">
        <f t="shared" ref="G27:G28" ca="1" si="21">IF(AND($A27&lt;=4,$A27&lt;&gt;0),0,IF($A27="S",OFFSET(G27,-1,0)+1,OFFSET(G27,-1,0)))</f>
        <v>2</v>
      </c>
      <c r="H27">
        <f t="shared" ca="1" si="7"/>
        <v>0</v>
      </c>
      <c r="I27">
        <f t="shared" ca="1" si="8"/>
        <v>0</v>
      </c>
      <c r="J27" s="394" t="s">
        <v>103</v>
      </c>
      <c r="K27" s="162" t="str">
        <f t="shared" ref="K27:K28" ca="1" si="22">IF($A27=0,"-",CONCATENATE(C27&amp;".",IF(AND($A$5&gt;=2,$A27&gt;=2),D27&amp;".",""),IF(AND($A$5&gt;=3,$A27&gt;=3),E27&amp;".",""),IF(AND($A$5&gt;=4,$A27&gt;=4),F27&amp;".",""),IF($A27="S",G27&amp;".","")))</f>
        <v>1.4.2.</v>
      </c>
      <c r="L27" s="395" t="s">
        <v>240</v>
      </c>
      <c r="M27" s="395" t="s">
        <v>273</v>
      </c>
      <c r="N27" s="396" t="s">
        <v>274</v>
      </c>
      <c r="O27" s="397" t="s">
        <v>262</v>
      </c>
      <c r="P27" s="398">
        <v>174.48</v>
      </c>
      <c r="Q27" s="228"/>
      <c r="R27" s="231" t="s">
        <v>7</v>
      </c>
      <c r="S27" s="121">
        <f t="shared" ref="S27" si="23">IF($A27="S",IF($Q$10="Preço Unitário (R$)",PO.CustoUnitario,ROUND(PO.CustoUnitario*(1+$Z27),15-13*$X$6)),0)</f>
        <v>0</v>
      </c>
      <c r="T27" s="98">
        <f t="shared" ref="T27" si="24">IF($A27="S",VTOTAL1,IF($A27=0,0,ROUND(SomaAgrup,15-13*$X$7)))</f>
        <v>0</v>
      </c>
      <c r="U27" s="13" t="str">
        <f t="shared" ref="U27:U28" si="25">IF($J27="","",IF($N27="","DESCRIÇÃO",IF(AND($J27="Serviço",$O27=""),"UNIDADE",IF($T27&lt;=0,"SEM VALOR",IF(AND($Y27&lt;&gt;"",$Q27&gt;$Y27),"ACIMA REF.","")))))</f>
        <v>SEM VALOR</v>
      </c>
      <c r="V27" s="4" t="str">
        <f ca="1">IF(OR($A27=0,$A27="S",$A27&gt;CFF!$A$9),"",MAX(V$12:OFFSET(V27,-1,0))+1)</f>
        <v/>
      </c>
      <c r="W27" s="9" t="str">
        <f t="shared" ref="W27:W28" si="26">IF(AND($J27="Serviço",$M27&lt;&gt;""),IF($L27="",$M27,CONCATENATE($L27,"-",$M27)))</f>
        <v>SEINFRA-ED-51130</v>
      </c>
      <c r="X27" s="4" t="e">
        <f t="shared" ref="X27" ca="1" si="27">IF(AND(Fonte&lt;&gt;"",Código&lt;&gt;""),MATCH(Fonte&amp;" "&amp;IF(Fonte="sinapi",SUBSTITUTE(SUBSTITUTE(Código,"/00","/"),"/0","/"),Código),INDIRECT("'[Referência "&amp;_xlnm.Database&amp;".xls]Banco'!$a:$a"),0),"X")</f>
        <v>#REF!</v>
      </c>
      <c r="Y27" s="121">
        <v>6.13</v>
      </c>
      <c r="Z27" s="132">
        <f ca="1">ROUND(IF(ISNUMBER(R27),R27,IF(LEFT(R27,3)="BDI",HLOOKUP(R27,DADOS!$T$37:$X$38,2,FALSE),0)),15-11*$X$5)</f>
        <v>0.28599999999999998</v>
      </c>
      <c r="AA27" s="4"/>
    </row>
    <row r="28" spans="1:27" ht="38.25" x14ac:dyDescent="0.2">
      <c r="A28" t="str">
        <f t="shared" si="15"/>
        <v>S</v>
      </c>
      <c r="B28">
        <f t="shared" si="16"/>
        <v>0</v>
      </c>
      <c r="C28">
        <f t="shared" ca="1" si="17"/>
        <v>1</v>
      </c>
      <c r="D28">
        <f t="shared" ca="1" si="18"/>
        <v>4</v>
      </c>
      <c r="E28">
        <f t="shared" ca="1" si="19"/>
        <v>0</v>
      </c>
      <c r="F28">
        <f t="shared" ca="1" si="20"/>
        <v>0</v>
      </c>
      <c r="G28">
        <f t="shared" ca="1" si="21"/>
        <v>3</v>
      </c>
      <c r="H28">
        <f t="shared" ca="1" si="7"/>
        <v>0</v>
      </c>
      <c r="I28">
        <f t="shared" ca="1" si="8"/>
        <v>0</v>
      </c>
      <c r="J28" s="394" t="s">
        <v>103</v>
      </c>
      <c r="K28" s="162" t="str">
        <f t="shared" ca="1" si="22"/>
        <v>1.4.3.</v>
      </c>
      <c r="L28" s="395" t="s">
        <v>240</v>
      </c>
      <c r="M28" s="395" t="s">
        <v>275</v>
      </c>
      <c r="N28" s="396" t="s">
        <v>276</v>
      </c>
      <c r="O28" s="397" t="s">
        <v>270</v>
      </c>
      <c r="P28" s="398">
        <v>1298.2</v>
      </c>
      <c r="Q28" s="228"/>
      <c r="R28" s="231" t="s">
        <v>7</v>
      </c>
      <c r="S28" s="121">
        <f>IF($A28="S",IF($Q$10="Preço Unitário (R$)",PO.CustoUnitario,ROUND(PO.CustoUnitario*(1+$Z28),15-13*$X$6)),0)</f>
        <v>0</v>
      </c>
      <c r="T28" s="98">
        <f>IF($A28="S",VTOTAL1,IF($A28=0,0,ROUND(SomaAgrup,15-13*$X$7)))</f>
        <v>0</v>
      </c>
      <c r="U28" s="13" t="str">
        <f t="shared" si="25"/>
        <v>SEM VALOR</v>
      </c>
      <c r="V28" s="4" t="str">
        <f ca="1">IF(OR($A28=0,$A28="S",$A28&gt;CFF!$A$9),"",MAX(V$12:OFFSET(V28,-1,0))+1)</f>
        <v/>
      </c>
      <c r="W28" s="9" t="str">
        <f t="shared" si="26"/>
        <v>SEINFRA-ED-14762</v>
      </c>
      <c r="X28" s="4" t="e">
        <f ca="1">IF(AND(Fonte&lt;&gt;"",Código&lt;&gt;""),MATCH(Fonte&amp;" "&amp;IF(Fonte="sinapi",SUBSTITUTE(SUBSTITUTE(Código,"/00","/"),"/0","/"),Código),INDIRECT("'[Referência "&amp;_xlnm.Database&amp;".xls]Banco'!$a:$a"),0),"X")</f>
        <v>#REF!</v>
      </c>
      <c r="Y28" s="121">
        <v>27.96</v>
      </c>
      <c r="Z28" s="132">
        <f ca="1">ROUND(IF(ISNUMBER(R28),R28,IF(LEFT(R28,3)="BDI",HLOOKUP(R28,DADOS!$T$37:$X$38,2,FALSE),0)),15-11*$X$5)</f>
        <v>0.28599999999999998</v>
      </c>
      <c r="AA28" s="4"/>
    </row>
    <row r="29" spans="1:27" x14ac:dyDescent="0.2">
      <c r="A29">
        <v>-1</v>
      </c>
      <c r="C29">
        <v>0</v>
      </c>
      <c r="D29">
        <v>0</v>
      </c>
      <c r="E29">
        <v>0</v>
      </c>
      <c r="F29">
        <v>0</v>
      </c>
      <c r="G29">
        <v>0</v>
      </c>
      <c r="J29" s="83"/>
      <c r="K29" s="83"/>
      <c r="L29" s="83"/>
      <c r="M29" s="83"/>
      <c r="N29" s="83"/>
      <c r="O29" s="83"/>
      <c r="P29" s="83"/>
      <c r="Q29" s="83"/>
      <c r="R29" s="83"/>
      <c r="S29" s="83"/>
      <c r="T29" s="83"/>
      <c r="U29" s="4"/>
      <c r="V29" s="4"/>
      <c r="W29" s="4"/>
      <c r="X29" s="4"/>
      <c r="Y29" s="4"/>
      <c r="Z29" s="4"/>
      <c r="AA29" s="4"/>
    </row>
    <row r="30" spans="1:27" ht="14.25" x14ac:dyDescent="0.2">
      <c r="A30" s="4"/>
      <c r="B30" s="4"/>
      <c r="C30" s="4"/>
      <c r="D30" s="4"/>
      <c r="E30" s="4"/>
      <c r="F30" s="4"/>
      <c r="G30" s="4"/>
      <c r="H30" s="4"/>
      <c r="I30" s="4"/>
      <c r="J30" s="4"/>
      <c r="K30" s="84" t="s">
        <v>62</v>
      </c>
      <c r="L30" s="4"/>
      <c r="M30" s="366" t="s">
        <v>142</v>
      </c>
      <c r="N30" s="367"/>
      <c r="O30" s="367"/>
      <c r="P30" s="367"/>
      <c r="Q30" s="367"/>
      <c r="R30" s="367"/>
      <c r="S30" s="367"/>
      <c r="T30" s="368"/>
      <c r="U30" s="4"/>
      <c r="V30" s="4"/>
      <c r="W30" s="4"/>
      <c r="X30" s="4"/>
      <c r="Y30" s="4"/>
      <c r="Z30" s="4"/>
      <c r="AA30" s="4"/>
    </row>
    <row r="31" spans="1:27" x14ac:dyDescent="0.2">
      <c r="A31" s="4"/>
      <c r="B31" s="4"/>
      <c r="C31" s="4"/>
      <c r="D31" s="4"/>
      <c r="E31" s="4"/>
      <c r="F31" s="4"/>
      <c r="G31" s="4"/>
      <c r="H31" s="4"/>
      <c r="I31" s="4"/>
      <c r="J31" s="4"/>
      <c r="K31" s="4"/>
      <c r="L31" s="4"/>
      <c r="M31" s="4"/>
      <c r="N31" s="4"/>
      <c r="O31" s="4"/>
      <c r="P31" s="4"/>
      <c r="Q31" s="4"/>
      <c r="R31" s="4"/>
      <c r="S31" s="4"/>
      <c r="T31" s="4"/>
      <c r="U31" s="4"/>
      <c r="V31" s="4"/>
      <c r="W31" s="4"/>
      <c r="X31" s="4"/>
      <c r="Y31" s="4"/>
      <c r="Z31" s="4"/>
      <c r="AA31" s="4"/>
    </row>
    <row r="32" spans="1:27" ht="14.25" x14ac:dyDescent="0.2">
      <c r="A32" s="4"/>
      <c r="B32" s="4"/>
      <c r="C32" s="4"/>
      <c r="D32" s="4"/>
      <c r="E32" s="4"/>
      <c r="F32" s="4"/>
      <c r="G32" s="4"/>
      <c r="H32" s="4"/>
      <c r="I32" s="4"/>
      <c r="J32" s="4"/>
      <c r="K32" s="90" t="s">
        <v>21</v>
      </c>
      <c r="L32" s="20"/>
      <c r="M32" s="20"/>
      <c r="N32" s="20"/>
      <c r="O32" s="20"/>
      <c r="P32" s="20"/>
      <c r="Q32" s="20"/>
      <c r="R32" s="20"/>
      <c r="S32" s="20"/>
      <c r="T32" s="89"/>
      <c r="U32" s="4"/>
      <c r="V32" s="4"/>
      <c r="W32" s="4"/>
      <c r="X32" s="4"/>
      <c r="Y32" s="4"/>
      <c r="Z32" s="4"/>
      <c r="AA32" s="4"/>
    </row>
    <row r="33" spans="1:27" ht="12.75" customHeight="1" x14ac:dyDescent="0.2">
      <c r="A33" s="4"/>
      <c r="B33" s="4"/>
      <c r="C33" s="4"/>
      <c r="D33" s="4"/>
      <c r="E33" s="4"/>
      <c r="F33" s="4"/>
      <c r="G33" s="4"/>
      <c r="H33" s="4"/>
      <c r="I33" s="4"/>
      <c r="J33" s="4"/>
      <c r="K33" s="360"/>
      <c r="L33" s="361"/>
      <c r="M33" s="361"/>
      <c r="N33" s="361"/>
      <c r="O33" s="361"/>
      <c r="P33" s="361"/>
      <c r="Q33" s="361"/>
      <c r="R33" s="361"/>
      <c r="S33" s="361"/>
      <c r="T33" s="362"/>
      <c r="U33" s="4"/>
      <c r="V33" s="4"/>
      <c r="W33" s="4"/>
      <c r="X33" s="4"/>
      <c r="Y33" s="4"/>
      <c r="Z33" s="4"/>
      <c r="AA33" s="4"/>
    </row>
    <row r="34" spans="1:27" x14ac:dyDescent="0.2">
      <c r="A34" s="4"/>
      <c r="B34" s="4"/>
      <c r="C34" s="4"/>
      <c r="D34" s="4"/>
      <c r="E34" s="4"/>
      <c r="F34" s="4"/>
      <c r="G34" s="4"/>
      <c r="H34" s="4"/>
      <c r="I34" s="4"/>
      <c r="J34" s="4"/>
      <c r="K34" s="360"/>
      <c r="L34" s="361"/>
      <c r="M34" s="361"/>
      <c r="N34" s="361"/>
      <c r="O34" s="361"/>
      <c r="P34" s="361"/>
      <c r="Q34" s="361"/>
      <c r="R34" s="361"/>
      <c r="S34" s="361"/>
      <c r="T34" s="362"/>
      <c r="U34" s="4"/>
      <c r="V34" s="4"/>
      <c r="W34" s="4"/>
      <c r="X34" s="4"/>
      <c r="Y34" s="4"/>
      <c r="Z34" s="4"/>
      <c r="AA34" s="4"/>
    </row>
    <row r="35" spans="1:27" x14ac:dyDescent="0.2">
      <c r="A35" s="4"/>
      <c r="B35" s="4"/>
      <c r="C35" s="4"/>
      <c r="D35" s="4"/>
      <c r="E35" s="4"/>
      <c r="F35" s="4"/>
      <c r="G35" s="4"/>
      <c r="H35" s="4"/>
      <c r="I35" s="4"/>
      <c r="J35" s="4"/>
      <c r="K35" s="363"/>
      <c r="L35" s="364"/>
      <c r="M35" s="364"/>
      <c r="N35" s="364"/>
      <c r="O35" s="364"/>
      <c r="P35" s="364"/>
      <c r="Q35" s="364"/>
      <c r="R35" s="364"/>
      <c r="S35" s="364"/>
      <c r="T35" s="365"/>
      <c r="U35" s="4"/>
      <c r="V35" s="4"/>
      <c r="W35" s="4"/>
      <c r="X35" s="4"/>
      <c r="Y35" s="4"/>
      <c r="Z35" s="4"/>
      <c r="AA35" s="4"/>
    </row>
    <row r="36" spans="1:27" ht="14.25" x14ac:dyDescent="0.2">
      <c r="A36" s="4"/>
      <c r="B36" s="4"/>
      <c r="C36" s="4"/>
      <c r="D36" s="4"/>
      <c r="E36" s="4"/>
      <c r="F36" s="4"/>
      <c r="G36" s="4"/>
      <c r="H36" s="4"/>
      <c r="I36" s="4"/>
      <c r="J36" s="4"/>
      <c r="K36" s="213"/>
      <c r="L36" s="213"/>
      <c r="M36" s="213"/>
      <c r="N36" s="213"/>
      <c r="O36" s="213"/>
      <c r="P36" s="213"/>
      <c r="Q36" s="213"/>
      <c r="R36" s="213"/>
      <c r="S36" s="213"/>
      <c r="T36" s="213"/>
      <c r="U36" s="4"/>
      <c r="V36" s="4"/>
      <c r="W36" s="4"/>
      <c r="X36" s="4"/>
      <c r="Y36" s="4"/>
      <c r="Z36" s="4"/>
      <c r="AA36" s="4"/>
    </row>
    <row r="37" spans="1:27" ht="15" x14ac:dyDescent="0.25">
      <c r="A37" s="4"/>
      <c r="B37" s="4"/>
      <c r="C37" s="4"/>
      <c r="D37" s="4"/>
      <c r="E37" s="4"/>
      <c r="F37" s="4"/>
      <c r="G37" s="4"/>
      <c r="H37" s="4"/>
      <c r="I37" s="4"/>
      <c r="J37" s="4"/>
      <c r="K37" s="35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7" s="358"/>
      <c r="M37" s="358"/>
      <c r="N37" s="358"/>
      <c r="O37" s="358"/>
      <c r="P37" s="358"/>
      <c r="Q37" s="358"/>
      <c r="R37" s="358"/>
      <c r="S37" s="358"/>
      <c r="T37" s="359"/>
      <c r="U37" s="4"/>
      <c r="V37" s="4"/>
      <c r="W37" s="4"/>
      <c r="X37" s="4"/>
      <c r="Y37" s="4"/>
      <c r="Z37" s="4"/>
      <c r="AA37" s="4"/>
    </row>
    <row r="38" spans="1:27" x14ac:dyDescent="0.2">
      <c r="A38" s="4"/>
      <c r="B38" s="4"/>
      <c r="C38" s="4"/>
      <c r="D38" s="4"/>
      <c r="E38" s="4"/>
      <c r="F38" s="4"/>
      <c r="G38" s="4"/>
      <c r="H38" s="4"/>
      <c r="I38" s="4"/>
      <c r="J38" s="4"/>
      <c r="K38" s="4"/>
      <c r="L38" s="4"/>
      <c r="M38" s="4"/>
      <c r="N38" s="4"/>
      <c r="O38" s="4"/>
      <c r="P38" s="4"/>
      <c r="Q38" s="4"/>
      <c r="R38" s="4"/>
      <c r="S38" s="4"/>
      <c r="T38" s="4"/>
      <c r="U38" s="4"/>
      <c r="V38" s="4"/>
      <c r="W38" s="4"/>
      <c r="X38" s="4"/>
      <c r="Y38" s="4"/>
      <c r="Z38" s="4"/>
      <c r="AA38" s="4"/>
    </row>
    <row r="39" spans="1:27" ht="21" customHeight="1" x14ac:dyDescent="0.2">
      <c r="A39" s="4"/>
      <c r="B39" s="4"/>
      <c r="C39" s="4"/>
      <c r="D39" s="4"/>
      <c r="E39" s="4"/>
      <c r="F39" s="4"/>
      <c r="G39" s="4"/>
      <c r="H39" s="4"/>
      <c r="I39" s="4"/>
      <c r="J39" s="4"/>
      <c r="K39" s="4"/>
      <c r="L39" s="4"/>
      <c r="M39" s="4"/>
      <c r="N39" s="4"/>
      <c r="O39" s="4"/>
      <c r="P39" s="4"/>
      <c r="Q39" s="4"/>
      <c r="R39" s="4"/>
      <c r="S39" s="4"/>
      <c r="T39" s="4"/>
      <c r="U39" s="4"/>
      <c r="V39" s="4"/>
      <c r="W39" s="4"/>
      <c r="X39" s="4"/>
      <c r="Y39" s="4"/>
      <c r="Z39" s="4"/>
      <c r="AA39" s="4"/>
    </row>
    <row r="40" spans="1:27" x14ac:dyDescent="0.2">
      <c r="A40" s="4"/>
      <c r="B40" s="4"/>
      <c r="C40" s="4"/>
      <c r="D40" s="4"/>
      <c r="E40" s="4"/>
      <c r="F40" s="4"/>
      <c r="G40" s="4"/>
      <c r="H40" s="4"/>
      <c r="I40" s="4"/>
      <c r="J40" s="4"/>
      <c r="K40" s="370" t="str">
        <f>Import.Município</f>
        <v>Presidente Olegário / MG</v>
      </c>
      <c r="L40" s="370"/>
      <c r="M40" s="370"/>
      <c r="N40" s="4"/>
      <c r="O40" s="4"/>
      <c r="P40" s="4"/>
      <c r="Q40" s="4"/>
      <c r="R40" s="4"/>
      <c r="S40" s="4"/>
      <c r="T40" s="4"/>
      <c r="U40" s="4"/>
      <c r="V40" s="4"/>
      <c r="W40" s="4"/>
      <c r="X40" s="4"/>
      <c r="Y40" s="4"/>
      <c r="Z40" s="4"/>
      <c r="AA40" s="4"/>
    </row>
    <row r="41" spans="1:27" x14ac:dyDescent="0.2">
      <c r="A41" s="4"/>
      <c r="B41" s="4"/>
      <c r="C41" s="4"/>
      <c r="D41" s="4"/>
      <c r="E41" s="4"/>
      <c r="F41" s="4"/>
      <c r="G41" s="4"/>
      <c r="H41" s="4"/>
      <c r="I41" s="4"/>
      <c r="J41" s="4"/>
      <c r="K41" s="112" t="s">
        <v>121</v>
      </c>
      <c r="L41" s="4"/>
      <c r="M41" s="4"/>
      <c r="N41" s="4"/>
      <c r="O41" s="4"/>
      <c r="P41" s="4"/>
      <c r="Q41" s="4"/>
      <c r="R41" s="4"/>
      <c r="S41" s="4"/>
      <c r="T41" s="4"/>
      <c r="U41" s="4"/>
      <c r="V41" s="4"/>
      <c r="W41" s="4"/>
      <c r="X41" s="4"/>
      <c r="Y41" s="4"/>
      <c r="Z41" s="4"/>
      <c r="AA41" s="4"/>
    </row>
    <row r="42" spans="1:27" x14ac:dyDescent="0.2">
      <c r="A42" s="4"/>
      <c r="B42" s="4"/>
      <c r="C42" s="4"/>
      <c r="D42" s="4"/>
      <c r="E42" s="4"/>
      <c r="F42" s="4"/>
      <c r="G42" s="4"/>
      <c r="H42" s="4"/>
      <c r="I42" s="4"/>
      <c r="J42" s="4"/>
      <c r="K42" s="4"/>
      <c r="L42" s="4"/>
      <c r="M42" s="4"/>
      <c r="N42" s="4"/>
      <c r="O42" s="4"/>
      <c r="P42" s="4"/>
      <c r="Q42" s="4"/>
      <c r="R42" s="4"/>
      <c r="S42" s="4"/>
      <c r="T42" s="4"/>
      <c r="U42" s="4"/>
      <c r="V42" s="4"/>
      <c r="W42" s="4"/>
      <c r="X42" s="4"/>
      <c r="Y42" s="4"/>
      <c r="Z42" s="4"/>
      <c r="AA42" s="4"/>
    </row>
    <row r="43" spans="1:27" x14ac:dyDescent="0.2">
      <c r="A43" s="4"/>
      <c r="B43" s="4"/>
      <c r="C43" s="4"/>
      <c r="D43" s="4"/>
      <c r="E43" s="4"/>
      <c r="F43" s="4"/>
      <c r="G43" s="4"/>
      <c r="H43" s="4"/>
      <c r="I43" s="4"/>
      <c r="J43" s="4"/>
      <c r="K43" s="369">
        <f ca="1">TODAY()</f>
        <v>44984</v>
      </c>
      <c r="L43" s="369"/>
      <c r="M43" s="369"/>
      <c r="N43" s="4"/>
      <c r="O43" s="4"/>
      <c r="P43" s="4"/>
      <c r="Q43" s="4"/>
      <c r="R43" s="4"/>
      <c r="S43" s="4"/>
      <c r="T43" s="4"/>
      <c r="U43" s="4"/>
      <c r="V43" s="4"/>
      <c r="W43" s="4"/>
      <c r="X43" s="4"/>
      <c r="Y43" s="4"/>
      <c r="Z43" s="4"/>
      <c r="AA43" s="4"/>
    </row>
    <row r="44" spans="1:27" x14ac:dyDescent="0.2">
      <c r="A44" s="4"/>
      <c r="B44" s="4"/>
      <c r="C44" s="4"/>
      <c r="D44" s="4"/>
      <c r="E44" s="4"/>
      <c r="F44" s="4"/>
      <c r="G44" s="4"/>
      <c r="H44" s="4"/>
      <c r="I44" s="4"/>
      <c r="J44" s="4"/>
      <c r="K44" s="141" t="s">
        <v>122</v>
      </c>
      <c r="L44" s="83"/>
      <c r="M44" s="83"/>
      <c r="N44" s="4"/>
      <c r="O44" s="4"/>
      <c r="P44" s="4"/>
      <c r="Q44" s="4"/>
      <c r="R44" s="4"/>
      <c r="S44" s="4"/>
      <c r="T44" s="4"/>
      <c r="U44" s="4"/>
      <c r="V44" s="4"/>
      <c r="W44" s="4"/>
      <c r="X44" s="4"/>
      <c r="Y44" s="4"/>
      <c r="Z44" s="4"/>
      <c r="AA44" s="4"/>
    </row>
  </sheetData>
  <sheetProtection algorithmName="SHA-512" hashValue="qqRcHkOBXtjv7VSFi/VW2XnlvYyMyKbq6/f2OvK8x9nJ0jR2WRW8nMffGPy1Mc26rlaCmyQ6+DGtqGZao2pNSw==" saltValue="Z2jf31VkuGIYjusJudXbzw==" spinCount="100000" sheet="1" objects="1" scenarios="1"/>
  <mergeCells count="6">
    <mergeCell ref="W2:X2"/>
    <mergeCell ref="K37:T37"/>
    <mergeCell ref="K33:T35"/>
    <mergeCell ref="M30:T30"/>
    <mergeCell ref="K43:M43"/>
    <mergeCell ref="K40:M40"/>
  </mergeCells>
  <phoneticPr fontId="25" type="noConversion"/>
  <conditionalFormatting sqref="O12:R12 L12:M12">
    <cfRule type="expression" dxfId="325" priority="2621" stopIfTrue="1">
      <formula>$J12=$C$2</formula>
    </cfRule>
    <cfRule type="expression" dxfId="324" priority="2622" stopIfTrue="1">
      <formula>UPPER(LEFT($J12,5))="NÍVEL"</formula>
    </cfRule>
    <cfRule type="expression" dxfId="323" priority="2623" stopIfTrue="1">
      <formula>$J12=$C$8</formula>
    </cfRule>
  </conditionalFormatting>
  <conditionalFormatting sqref="Y12:Z12 S12:T12 K12">
    <cfRule type="expression" dxfId="322" priority="2624" stopIfTrue="1">
      <formula>$J12=$C$2</formula>
    </cfRule>
    <cfRule type="expression" dxfId="321" priority="2625" stopIfTrue="1">
      <formula>UPPER(LEFT($J12,5))="NÍVEL"</formula>
    </cfRule>
  </conditionalFormatting>
  <conditionalFormatting sqref="K11 K13 K22 K24 K26:K28">
    <cfRule type="expression" dxfId="320" priority="2637" stopIfTrue="1">
      <formula>$J11=$C$2</formula>
    </cfRule>
    <cfRule type="expression" dxfId="319" priority="2638" stopIfTrue="1">
      <formula>AND($J11&lt;&gt;"",$J11&lt;&gt;"Serviço")</formula>
    </cfRule>
    <cfRule type="expression" dxfId="318" priority="2639" stopIfTrue="1">
      <formula>$J11=""</formula>
    </cfRule>
  </conditionalFormatting>
  <conditionalFormatting sqref="P11 P13 P22 P24 P26:P28">
    <cfRule type="expression" dxfId="317" priority="964" stopIfTrue="1">
      <formula>$J11=$C$2</formula>
    </cfRule>
    <cfRule type="expression" dxfId="316" priority="2643" stopIfTrue="1">
      <formula>AND($J11&lt;&gt;"Serviço")</formula>
    </cfRule>
    <cfRule type="expression" dxfId="315" priority="2644" stopIfTrue="1">
      <formula>CELL("proteger",P11)</formula>
    </cfRule>
  </conditionalFormatting>
  <conditionalFormatting sqref="Q11:R11 Q13:R13 Q22:R22 Q24:R24 Q26:R28">
    <cfRule type="expression" dxfId="314" priority="2645" stopIfTrue="1">
      <formula>$J11=$C$2</formula>
    </cfRule>
    <cfRule type="expression" dxfId="313" priority="2646" stopIfTrue="1">
      <formula>$J11&lt;&gt;"Serviço"</formula>
    </cfRule>
    <cfRule type="expression" dxfId="312" priority="2647" stopIfTrue="1">
      <formula>CELL("proteger",Q11)</formula>
    </cfRule>
  </conditionalFormatting>
  <conditionalFormatting sqref="S11:T11 Y11:Z11 S13:T13 Y13:Z13 Y22:Z22 S22:T22 Y24:Z24 S24:T24 S26:T28 Y26:Z28">
    <cfRule type="expression" dxfId="311" priority="2648" stopIfTrue="1">
      <formula>$J11=$C$2</formula>
    </cfRule>
    <cfRule type="expression" dxfId="310" priority="2649" stopIfTrue="1">
      <formula>$J11&lt;&gt;"Serviço"</formula>
    </cfRule>
  </conditionalFormatting>
  <conditionalFormatting sqref="L11:M11 L13:M13 M22 M24 M26:M28">
    <cfRule type="expression" dxfId="309" priority="2669" stopIfTrue="1">
      <formula>$J11=$C$2</formula>
    </cfRule>
    <cfRule type="expression" dxfId="308" priority="2670" stopIfTrue="1">
      <formula>$J11&lt;&gt;"Serviço"</formula>
    </cfRule>
    <cfRule type="expression" dxfId="307" priority="2671" stopIfTrue="1">
      <formula>OR(CELL("proteger",L11),$J11="",TipoOrçamento="Licitado")</formula>
    </cfRule>
  </conditionalFormatting>
  <conditionalFormatting sqref="K30:T30">
    <cfRule type="expression" dxfId="306" priority="2650" stopIfTrue="1">
      <formula>OR(Tipo.Orçamento="LICITADO",Tipo.Orçamento="REPROGRAMADOAC")</formula>
    </cfRule>
    <cfRule type="expression" dxfId="305" priority="2651" stopIfTrue="1">
      <formula>$M$30=""</formula>
    </cfRule>
  </conditionalFormatting>
  <conditionalFormatting sqref="J11 J13 J26">
    <cfRule type="expression" dxfId="304" priority="2678" stopIfTrue="1">
      <formula>TipoOrçamento="Licitado"</formula>
    </cfRule>
  </conditionalFormatting>
  <conditionalFormatting sqref="O11 O13 O22:O24 O26:O28">
    <cfRule type="expression" dxfId="303" priority="984" stopIfTrue="1">
      <formula>$J11=$C$2</formula>
    </cfRule>
    <cfRule type="expression" dxfId="302" priority="985" stopIfTrue="1">
      <formula>AND($J11&lt;&gt;"Serviço")</formula>
    </cfRule>
    <cfRule type="expression" dxfId="301" priority="986" stopIfTrue="1">
      <formula>CELL("proteger",O11)</formula>
    </cfRule>
  </conditionalFormatting>
  <conditionalFormatting sqref="N11 N26:N28">
    <cfRule type="expression" dxfId="300" priority="987" stopIfTrue="1">
      <formula>$J11=$C$2</formula>
    </cfRule>
    <cfRule type="expression" dxfId="299" priority="988" stopIfTrue="1">
      <formula>$J11&lt;&gt;"Serviço"</formula>
    </cfRule>
    <cfRule type="expression" dxfId="298" priority="989" stopIfTrue="1">
      <formula>CELL("proteger",N11)</formula>
    </cfRule>
  </conditionalFormatting>
  <conditionalFormatting sqref="K14:K16 K21">
    <cfRule type="expression" dxfId="297" priority="863" stopIfTrue="1">
      <formula>$J14=$C$2</formula>
    </cfRule>
    <cfRule type="expression" dxfId="296" priority="864" stopIfTrue="1">
      <formula>AND($J14&lt;&gt;"",$J14&lt;&gt;"Serviço")</formula>
    </cfRule>
    <cfRule type="expression" dxfId="295" priority="865" stopIfTrue="1">
      <formula>$J14=""</formula>
    </cfRule>
  </conditionalFormatting>
  <conditionalFormatting sqref="P14:P16 P21">
    <cfRule type="expression" dxfId="294" priority="856" stopIfTrue="1">
      <formula>$J14=$C$2</formula>
    </cfRule>
    <cfRule type="expression" dxfId="293" priority="866" stopIfTrue="1">
      <formula>AND($J14&lt;&gt;"Serviço")</formula>
    </cfRule>
    <cfRule type="expression" dxfId="292" priority="867" stopIfTrue="1">
      <formula>CELL("proteger",P14)</formula>
    </cfRule>
  </conditionalFormatting>
  <conditionalFormatting sqref="Q14:R16 Q21:R21">
    <cfRule type="expression" dxfId="291" priority="868" stopIfTrue="1">
      <formula>$J14=$C$2</formula>
    </cfRule>
    <cfRule type="expression" dxfId="290" priority="869" stopIfTrue="1">
      <formula>$J14&lt;&gt;"Serviço"</formula>
    </cfRule>
    <cfRule type="expression" dxfId="289" priority="870" stopIfTrue="1">
      <formula>CELL("proteger",Q14)</formula>
    </cfRule>
  </conditionalFormatting>
  <conditionalFormatting sqref="S14:T16 Y14:Z16 Y21:Z21 S21:T21">
    <cfRule type="expression" dxfId="288" priority="871" stopIfTrue="1">
      <formula>$J14=$C$2</formula>
    </cfRule>
    <cfRule type="expression" dxfId="287" priority="872" stopIfTrue="1">
      <formula>$J14&lt;&gt;"Serviço"</formula>
    </cfRule>
  </conditionalFormatting>
  <conditionalFormatting sqref="L14:M16 L21:M21">
    <cfRule type="expression" dxfId="286" priority="873" stopIfTrue="1">
      <formula>$J14=$C$2</formula>
    </cfRule>
    <cfRule type="expression" dxfId="285" priority="874" stopIfTrue="1">
      <formula>$J14&lt;&gt;"Serviço"</formula>
    </cfRule>
    <cfRule type="expression" dxfId="284" priority="875" stopIfTrue="1">
      <formula>OR(CELL("proteger",L14),$J14="",TipoOrçamento="Licitado")</formula>
    </cfRule>
  </conditionalFormatting>
  <conditionalFormatting sqref="J14:J16 J21:J22">
    <cfRule type="expression" dxfId="283" priority="876" stopIfTrue="1">
      <formula>TipoOrçamento="Licitado"</formula>
    </cfRule>
  </conditionalFormatting>
  <conditionalFormatting sqref="O14 O21">
    <cfRule type="expression" dxfId="282" priority="857" stopIfTrue="1">
      <formula>$J14=$C$2</formula>
    </cfRule>
    <cfRule type="expression" dxfId="281" priority="858" stopIfTrue="1">
      <formula>AND($J14&lt;&gt;"Serviço")</formula>
    </cfRule>
    <cfRule type="expression" dxfId="280" priority="859" stopIfTrue="1">
      <formula>CELL("proteger",O14)</formula>
    </cfRule>
  </conditionalFormatting>
  <conditionalFormatting sqref="N14 N21">
    <cfRule type="expression" dxfId="279" priority="860" stopIfTrue="1">
      <formula>$J14=$C$2</formula>
    </cfRule>
    <cfRule type="expression" dxfId="278" priority="861" stopIfTrue="1">
      <formula>$J14&lt;&gt;"Serviço"</formula>
    </cfRule>
    <cfRule type="expression" dxfId="277" priority="862" stopIfTrue="1">
      <formula>CELL("proteger",N14)</formula>
    </cfRule>
  </conditionalFormatting>
  <conditionalFormatting sqref="N13">
    <cfRule type="expression" dxfId="276" priority="853" stopIfTrue="1">
      <formula>$J13=$C$2</formula>
    </cfRule>
    <cfRule type="expression" dxfId="275" priority="854" stopIfTrue="1">
      <formula>$J13&lt;&gt;"Serviço"</formula>
    </cfRule>
    <cfRule type="expression" dxfId="274" priority="855" stopIfTrue="1">
      <formula>CELL("proteger",N13)</formula>
    </cfRule>
  </conditionalFormatting>
  <conditionalFormatting sqref="J27">
    <cfRule type="expression" dxfId="273" priority="726" stopIfTrue="1">
      <formula>TipoOrçamento="Licitado"</formula>
    </cfRule>
  </conditionalFormatting>
  <conditionalFormatting sqref="J28">
    <cfRule type="expression" dxfId="272" priority="327" stopIfTrue="1">
      <formula>TipoOrçamento="Licitado"</formula>
    </cfRule>
  </conditionalFormatting>
  <conditionalFormatting sqref="J24">
    <cfRule type="expression" dxfId="271" priority="222" stopIfTrue="1">
      <formula>TipoOrçamento="Licitado"</formula>
    </cfRule>
  </conditionalFormatting>
  <conditionalFormatting sqref="K23">
    <cfRule type="expression" dxfId="270" priority="167" stopIfTrue="1">
      <formula>$J23=$C$2</formula>
    </cfRule>
    <cfRule type="expression" dxfId="269" priority="168" stopIfTrue="1">
      <formula>AND($J23&lt;&gt;"",$J23&lt;&gt;"Serviço")</formula>
    </cfRule>
    <cfRule type="expression" dxfId="268" priority="169" stopIfTrue="1">
      <formula>$J23=""</formula>
    </cfRule>
  </conditionalFormatting>
  <conditionalFormatting sqref="P23">
    <cfRule type="expression" dxfId="267" priority="160" stopIfTrue="1">
      <formula>$J23=$C$2</formula>
    </cfRule>
    <cfRule type="expression" dxfId="266" priority="170" stopIfTrue="1">
      <formula>AND($J23&lt;&gt;"Serviço")</formula>
    </cfRule>
    <cfRule type="expression" dxfId="265" priority="171" stopIfTrue="1">
      <formula>CELL("proteger",P23)</formula>
    </cfRule>
  </conditionalFormatting>
  <conditionalFormatting sqref="Q23:R23">
    <cfRule type="expression" dxfId="264" priority="172" stopIfTrue="1">
      <formula>$J23=$C$2</formula>
    </cfRule>
    <cfRule type="expression" dxfId="263" priority="173" stopIfTrue="1">
      <formula>$J23&lt;&gt;"Serviço"</formula>
    </cfRule>
    <cfRule type="expression" dxfId="262" priority="174" stopIfTrue="1">
      <formula>CELL("proteger",Q23)</formula>
    </cfRule>
  </conditionalFormatting>
  <conditionalFormatting sqref="S23:T23 Y23:Z23">
    <cfRule type="expression" dxfId="261" priority="175" stopIfTrue="1">
      <formula>$J23=$C$2</formula>
    </cfRule>
    <cfRule type="expression" dxfId="260" priority="176" stopIfTrue="1">
      <formula>$J23&lt;&gt;"Serviço"</formula>
    </cfRule>
  </conditionalFormatting>
  <conditionalFormatting sqref="M23">
    <cfRule type="expression" dxfId="259" priority="177" stopIfTrue="1">
      <formula>$J23=$C$2</formula>
    </cfRule>
    <cfRule type="expression" dxfId="258" priority="178" stopIfTrue="1">
      <formula>$J23&lt;&gt;"Serviço"</formula>
    </cfRule>
    <cfRule type="expression" dxfId="257" priority="179" stopIfTrue="1">
      <formula>OR(CELL("proteger",M23),$J23="",TipoOrçamento="Licitado")</formula>
    </cfRule>
  </conditionalFormatting>
  <conditionalFormatting sqref="J23">
    <cfRule type="expression" dxfId="256" priority="180" stopIfTrue="1">
      <formula>TipoOrçamento="Licitado"</formula>
    </cfRule>
  </conditionalFormatting>
  <conditionalFormatting sqref="O15:O16">
    <cfRule type="expression" dxfId="255" priority="151" stopIfTrue="1">
      <formula>$J15=$C$2</formula>
    </cfRule>
    <cfRule type="expression" dxfId="254" priority="152" stopIfTrue="1">
      <formula>AND($J15&lt;&gt;"Serviço")</formula>
    </cfRule>
    <cfRule type="expression" dxfId="253" priority="153" stopIfTrue="1">
      <formula>CELL("proteger",O15)</formula>
    </cfRule>
  </conditionalFormatting>
  <conditionalFormatting sqref="N15:N16">
    <cfRule type="expression" dxfId="252" priority="154" stopIfTrue="1">
      <formula>$J15=$C$2</formula>
    </cfRule>
    <cfRule type="expression" dxfId="251" priority="155" stopIfTrue="1">
      <formula>$J15&lt;&gt;"Serviço"</formula>
    </cfRule>
    <cfRule type="expression" dxfId="250" priority="156" stopIfTrue="1">
      <formula>CELL("proteger",N15)</formula>
    </cfRule>
  </conditionalFormatting>
  <conditionalFormatting sqref="N22:N23">
    <cfRule type="expression" dxfId="249" priority="148" stopIfTrue="1">
      <formula>$J22=$C$2</formula>
    </cfRule>
    <cfRule type="expression" dxfId="248" priority="149" stopIfTrue="1">
      <formula>$J22&lt;&gt;"Serviço"</formula>
    </cfRule>
    <cfRule type="expression" dxfId="247" priority="150" stopIfTrue="1">
      <formula>CELL("proteger",N22)</formula>
    </cfRule>
  </conditionalFormatting>
  <conditionalFormatting sqref="N24">
    <cfRule type="expression" dxfId="246" priority="130" stopIfTrue="1">
      <formula>$J24=$C$2</formula>
    </cfRule>
    <cfRule type="expression" dxfId="245" priority="131" stopIfTrue="1">
      <formula>$J24&lt;&gt;"Serviço"</formula>
    </cfRule>
    <cfRule type="expression" dxfId="244" priority="132" stopIfTrue="1">
      <formula>CELL("proteger",N24)</formula>
    </cfRule>
  </conditionalFormatting>
  <conditionalFormatting sqref="K25">
    <cfRule type="expression" dxfId="243" priority="95" stopIfTrue="1">
      <formula>$J25=$C$2</formula>
    </cfRule>
    <cfRule type="expression" dxfId="242" priority="96" stopIfTrue="1">
      <formula>AND($J25&lt;&gt;"",$J25&lt;&gt;"Serviço")</formula>
    </cfRule>
    <cfRule type="expression" dxfId="241" priority="97" stopIfTrue="1">
      <formula>$J25=""</formula>
    </cfRule>
  </conditionalFormatting>
  <conditionalFormatting sqref="P25">
    <cfRule type="expression" dxfId="240" priority="88" stopIfTrue="1">
      <formula>$J25=$C$2</formula>
    </cfRule>
    <cfRule type="expression" dxfId="239" priority="98" stopIfTrue="1">
      <formula>AND($J25&lt;&gt;"Serviço")</formula>
    </cfRule>
    <cfRule type="expression" dxfId="238" priority="99" stopIfTrue="1">
      <formula>CELL("proteger",P25)</formula>
    </cfRule>
  </conditionalFormatting>
  <conditionalFormatting sqref="Q25:R25">
    <cfRule type="expression" dxfId="237" priority="100" stopIfTrue="1">
      <formula>$J25=$C$2</formula>
    </cfRule>
    <cfRule type="expression" dxfId="236" priority="101" stopIfTrue="1">
      <formula>$J25&lt;&gt;"Serviço"</formula>
    </cfRule>
    <cfRule type="expression" dxfId="235" priority="102" stopIfTrue="1">
      <formula>CELL("proteger",Q25)</formula>
    </cfRule>
  </conditionalFormatting>
  <conditionalFormatting sqref="S25:T25 Y25:Z25">
    <cfRule type="expression" dxfId="234" priority="103" stopIfTrue="1">
      <formula>$J25=$C$2</formula>
    </cfRule>
    <cfRule type="expression" dxfId="233" priority="104" stopIfTrue="1">
      <formula>$J25&lt;&gt;"Serviço"</formula>
    </cfRule>
  </conditionalFormatting>
  <conditionalFormatting sqref="J25">
    <cfRule type="expression" dxfId="232" priority="108" stopIfTrue="1">
      <formula>TipoOrçamento="Licitado"</formula>
    </cfRule>
  </conditionalFormatting>
  <conditionalFormatting sqref="L25:M25">
    <cfRule type="expression" dxfId="231" priority="85" stopIfTrue="1">
      <formula>$J25=$C$2</formula>
    </cfRule>
    <cfRule type="expression" dxfId="230" priority="86" stopIfTrue="1">
      <formula>$J25&lt;&gt;"Serviço"</formula>
    </cfRule>
    <cfRule type="expression" dxfId="229" priority="87" stopIfTrue="1">
      <formula>OR(CELL("proteger",L25),$J25="",TipoOrçamento="Licitado")</formula>
    </cfRule>
  </conditionalFormatting>
  <conditionalFormatting sqref="O25">
    <cfRule type="expression" dxfId="228" priority="82" stopIfTrue="1">
      <formula>$J25=$C$2</formula>
    </cfRule>
    <cfRule type="expression" dxfId="227" priority="83" stopIfTrue="1">
      <formula>AND($J25&lt;&gt;"Serviço")</formula>
    </cfRule>
    <cfRule type="expression" dxfId="226" priority="84" stopIfTrue="1">
      <formula>CELL("proteger",O25)</formula>
    </cfRule>
  </conditionalFormatting>
  <conditionalFormatting sqref="N25">
    <cfRule type="expression" dxfId="225" priority="79" stopIfTrue="1">
      <formula>$J25=$C$2</formula>
    </cfRule>
    <cfRule type="expression" dxfId="224" priority="80" stopIfTrue="1">
      <formula>$J25&lt;&gt;"Serviço"</formula>
    </cfRule>
    <cfRule type="expression" dxfId="223" priority="81" stopIfTrue="1">
      <formula>CELL("proteger",N25)</formula>
    </cfRule>
  </conditionalFormatting>
  <conditionalFormatting sqref="K17:K18">
    <cfRule type="expression" dxfId="222" priority="41" stopIfTrue="1">
      <formula>$J17=$C$2</formula>
    </cfRule>
    <cfRule type="expression" dxfId="221" priority="42" stopIfTrue="1">
      <formula>AND($J17&lt;&gt;"",$J17&lt;&gt;"Serviço")</formula>
    </cfRule>
    <cfRule type="expression" dxfId="220" priority="43" stopIfTrue="1">
      <formula>$J17=""</formula>
    </cfRule>
  </conditionalFormatting>
  <conditionalFormatting sqref="P17:P18">
    <cfRule type="expression" dxfId="219" priority="34" stopIfTrue="1">
      <formula>$J17=$C$2</formula>
    </cfRule>
    <cfRule type="expression" dxfId="218" priority="44" stopIfTrue="1">
      <formula>AND($J17&lt;&gt;"Serviço")</formula>
    </cfRule>
    <cfRule type="expression" dxfId="217" priority="45" stopIfTrue="1">
      <formula>CELL("proteger",P17)</formula>
    </cfRule>
  </conditionalFormatting>
  <conditionalFormatting sqref="Q17:R18">
    <cfRule type="expression" dxfId="216" priority="46" stopIfTrue="1">
      <formula>$J17=$C$2</formula>
    </cfRule>
    <cfRule type="expression" dxfId="215" priority="47" stopIfTrue="1">
      <formula>$J17&lt;&gt;"Serviço"</formula>
    </cfRule>
    <cfRule type="expression" dxfId="214" priority="48" stopIfTrue="1">
      <formula>CELL("proteger",Q17)</formula>
    </cfRule>
  </conditionalFormatting>
  <conditionalFormatting sqref="S17:T18 Y17:Z18">
    <cfRule type="expression" dxfId="213" priority="49" stopIfTrue="1">
      <formula>$J17=$C$2</formula>
    </cfRule>
    <cfRule type="expression" dxfId="212" priority="50" stopIfTrue="1">
      <formula>$J17&lt;&gt;"Serviço"</formula>
    </cfRule>
  </conditionalFormatting>
  <conditionalFormatting sqref="M17:M18">
    <cfRule type="expression" dxfId="211" priority="51" stopIfTrue="1">
      <formula>$J17=$C$2</formula>
    </cfRule>
    <cfRule type="expression" dxfId="210" priority="52" stopIfTrue="1">
      <formula>$J17&lt;&gt;"Serviço"</formula>
    </cfRule>
    <cfRule type="expression" dxfId="209" priority="53" stopIfTrue="1">
      <formula>OR(CELL("proteger",M17),$J17="",TipoOrçamento="Licitado")</formula>
    </cfRule>
  </conditionalFormatting>
  <conditionalFormatting sqref="J17:J18">
    <cfRule type="expression" dxfId="208" priority="54" stopIfTrue="1">
      <formula>TipoOrçamento="Licitado"</formula>
    </cfRule>
  </conditionalFormatting>
  <conditionalFormatting sqref="O17:O18">
    <cfRule type="expression" dxfId="207" priority="35" stopIfTrue="1">
      <formula>$J17=$C$2</formula>
    </cfRule>
    <cfRule type="expression" dxfId="206" priority="36" stopIfTrue="1">
      <formula>AND($J17&lt;&gt;"Serviço")</formula>
    </cfRule>
    <cfRule type="expression" dxfId="205" priority="37" stopIfTrue="1">
      <formula>CELL("proteger",O17)</formula>
    </cfRule>
  </conditionalFormatting>
  <conditionalFormatting sqref="N17:N18">
    <cfRule type="expression" dxfId="204" priority="38" stopIfTrue="1">
      <formula>$J17=$C$2</formula>
    </cfRule>
    <cfRule type="expression" dxfId="203" priority="39" stopIfTrue="1">
      <formula>$J17&lt;&gt;"Serviço"</formula>
    </cfRule>
    <cfRule type="expression" dxfId="202" priority="40" stopIfTrue="1">
      <formula>CELL("proteger",N17)</formula>
    </cfRule>
  </conditionalFormatting>
  <conditionalFormatting sqref="K19:K20">
    <cfRule type="expression" dxfId="201" priority="17" stopIfTrue="1">
      <formula>$J19=$C$2</formula>
    </cfRule>
    <cfRule type="expression" dxfId="200" priority="18" stopIfTrue="1">
      <formula>AND($J19&lt;&gt;"",$J19&lt;&gt;"Serviço")</formula>
    </cfRule>
    <cfRule type="expression" dxfId="199" priority="19" stopIfTrue="1">
      <formula>$J19=""</formula>
    </cfRule>
  </conditionalFormatting>
  <conditionalFormatting sqref="P19:P20">
    <cfRule type="expression" dxfId="198" priority="10" stopIfTrue="1">
      <formula>$J19=$C$2</formula>
    </cfRule>
    <cfRule type="expression" dxfId="197" priority="20" stopIfTrue="1">
      <formula>AND($J19&lt;&gt;"Serviço")</formula>
    </cfRule>
    <cfRule type="expression" dxfId="196" priority="21" stopIfTrue="1">
      <formula>CELL("proteger",P19)</formula>
    </cfRule>
  </conditionalFormatting>
  <conditionalFormatting sqref="Q19:R20">
    <cfRule type="expression" dxfId="195" priority="22" stopIfTrue="1">
      <formula>$J19=$C$2</formula>
    </cfRule>
    <cfRule type="expression" dxfId="194" priority="23" stopIfTrue="1">
      <formula>$J19&lt;&gt;"Serviço"</formula>
    </cfRule>
    <cfRule type="expression" dxfId="193" priority="24" stopIfTrue="1">
      <formula>CELL("proteger",Q19)</formula>
    </cfRule>
  </conditionalFormatting>
  <conditionalFormatting sqref="S19:T20 Y19:Z20">
    <cfRule type="expression" dxfId="192" priority="25" stopIfTrue="1">
      <formula>$J19=$C$2</formula>
    </cfRule>
    <cfRule type="expression" dxfId="191" priority="26" stopIfTrue="1">
      <formula>$J19&lt;&gt;"Serviço"</formula>
    </cfRule>
  </conditionalFormatting>
  <conditionalFormatting sqref="M19:M20">
    <cfRule type="expression" dxfId="190" priority="27" stopIfTrue="1">
      <formula>$J19=$C$2</formula>
    </cfRule>
    <cfRule type="expression" dxfId="189" priority="28" stopIfTrue="1">
      <formula>$J19&lt;&gt;"Serviço"</formula>
    </cfRule>
    <cfRule type="expression" dxfId="188" priority="29" stopIfTrue="1">
      <formula>OR(CELL("proteger",M19),$J19="",TipoOrçamento="Licitado")</formula>
    </cfRule>
  </conditionalFormatting>
  <conditionalFormatting sqref="J19:J20">
    <cfRule type="expression" dxfId="187" priority="30" stopIfTrue="1">
      <formula>TipoOrçamento="Licitado"</formula>
    </cfRule>
  </conditionalFormatting>
  <conditionalFormatting sqref="O19:O20">
    <cfRule type="expression" dxfId="186" priority="11" stopIfTrue="1">
      <formula>$J19=$C$2</formula>
    </cfRule>
    <cfRule type="expression" dxfId="185" priority="12" stopIfTrue="1">
      <formula>AND($J19&lt;&gt;"Serviço")</formula>
    </cfRule>
    <cfRule type="expression" dxfId="184" priority="13" stopIfTrue="1">
      <formula>CELL("proteger",O19)</formula>
    </cfRule>
  </conditionalFormatting>
  <conditionalFormatting sqref="N19:N20">
    <cfRule type="expression" dxfId="183" priority="14" stopIfTrue="1">
      <formula>$J19=$C$2</formula>
    </cfRule>
    <cfRule type="expression" dxfId="182" priority="15" stopIfTrue="1">
      <formula>$J19&lt;&gt;"Serviço"</formula>
    </cfRule>
    <cfRule type="expression" dxfId="181" priority="16" stopIfTrue="1">
      <formula>CELL("proteger",N19)</formula>
    </cfRule>
  </conditionalFormatting>
  <conditionalFormatting sqref="L17:L20">
    <cfRule type="expression" dxfId="180" priority="7" stopIfTrue="1">
      <formula>$J17=$C$2</formula>
    </cfRule>
    <cfRule type="expression" dxfId="179" priority="8" stopIfTrue="1">
      <formula>$J17&lt;&gt;"Serviço"</formula>
    </cfRule>
    <cfRule type="expression" dxfId="178" priority="9" stopIfTrue="1">
      <formula>OR(CELL("proteger",L17),$J17="",TipoOrçamento="Licitado")</formula>
    </cfRule>
  </conditionalFormatting>
  <conditionalFormatting sqref="L22:L24">
    <cfRule type="expression" dxfId="177" priority="4" stopIfTrue="1">
      <formula>$J22=$C$2</formula>
    </cfRule>
    <cfRule type="expression" dxfId="176" priority="5" stopIfTrue="1">
      <formula>$J22&lt;&gt;"Serviço"</formula>
    </cfRule>
    <cfRule type="expression" dxfId="175" priority="6" stopIfTrue="1">
      <formula>OR(CELL("proteger",L22),$J22="",TipoOrçamento="Licitado")</formula>
    </cfRule>
  </conditionalFormatting>
  <conditionalFormatting sqref="L26:L28">
    <cfRule type="expression" dxfId="174" priority="1" stopIfTrue="1">
      <formula>$J26=$C$2</formula>
    </cfRule>
    <cfRule type="expression" dxfId="173" priority="2" stopIfTrue="1">
      <formula>$J26&lt;&gt;"Serviço"</formula>
    </cfRule>
    <cfRule type="expression" dxfId="172" priority="3" stopIfTrue="1">
      <formula>OR(CELL("proteger",L26),$J26="",TipoOrçamento="Licitado")</formula>
    </cfRule>
  </conditionalFormatting>
  <dataValidations count="3">
    <dataValidation type="decimal" operator="greaterThan" allowBlank="1" showInputMessage="1" showErrorMessage="1" error="Apenas números decimais maiores que zero." sqref="Q11 Q13:Q28"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28"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28" xr:uid="{00000000-0002-0000-02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40 K43"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35"/>
  <sheetViews>
    <sheetView showGridLines="0" zoomScale="85" zoomScaleNormal="85" zoomScaleSheetLayoutView="100" workbookViewId="0">
      <pane xSplit="5" ySplit="10" topLeftCell="F11" activePane="bottomRight" state="frozen"/>
      <selection pane="topRight"/>
      <selection pane="bottomLeft"/>
      <selection pane="bottomRight" activeCell="K54" sqref="K54"/>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400" t="s">
        <v>246</v>
      </c>
      <c r="G9" s="400"/>
      <c r="H9" s="400"/>
      <c r="I9" s="400"/>
      <c r="J9" s="400"/>
      <c r="K9" s="400"/>
      <c r="L9" s="400"/>
      <c r="M9" s="400"/>
      <c r="N9" s="400"/>
      <c r="O9" s="400"/>
      <c r="U9" s="122"/>
    </row>
    <row r="10" spans="1:21" s="15" customFormat="1" ht="30" customHeight="1" x14ac:dyDescent="0.2">
      <c r="A10" s="123" t="s">
        <v>3</v>
      </c>
      <c r="B10" s="123" t="s">
        <v>148</v>
      </c>
      <c r="C10" s="123" t="s">
        <v>143</v>
      </c>
      <c r="D10" s="124" t="s">
        <v>159</v>
      </c>
      <c r="E10" s="123" t="s">
        <v>149</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ht="25.5" x14ac:dyDescent="0.2">
      <c r="A13" s="126" t="str">
        <f ca="1">OFFSET(PO!J$12,ROW(A13)-ROW($A$12),0)</f>
        <v>Meta</v>
      </c>
      <c r="B13" s="130" t="str">
        <f ca="1">IF($A13=0,"",OFFSET(PO!K$12,ROW(B13)-ROW(B$12),0))</f>
        <v>1.</v>
      </c>
      <c r="C13" s="127" t="str">
        <f ca="1">IF(OFFSET(PO!N$12,ROW(C13)-ROW(C$12),0)=0,"",OFFSET(PO!N$12,ROW(C13)-ROW(C$12),0))</f>
        <v>Execução das obras de pavimentação / recapeamento asfáltico e drenagem pluvial</v>
      </c>
      <c r="D13" s="129" t="str">
        <f ca="1">IF(OFFSET(PO!O$12,ROW(D13)-ROW(D$12),0)=0,"",OFFSET(PO!O$12,ROW(D13)-ROW(D$12),0))</f>
        <v/>
      </c>
      <c r="E13" s="165">
        <f ca="1">IF($A13&lt;&gt;"Serviço",0,ROUND(SUMIF($F$9:$P$9,"&lt;&gt;",$F13:$P13),15-13*PO!$X$3))</f>
        <v>0</v>
      </c>
      <c r="F13" s="399">
        <f ca="1">OFFSET(PO!$P$12,ROW($E13)-ROW(F$12),0)</f>
        <v>0</v>
      </c>
      <c r="G13" s="399"/>
      <c r="H13" s="399"/>
      <c r="I13" s="399"/>
      <c r="J13" s="399"/>
      <c r="K13" s="399"/>
      <c r="L13" s="399"/>
      <c r="M13" s="399"/>
      <c r="N13" s="399"/>
      <c r="O13" s="399"/>
      <c r="U13" s="215"/>
    </row>
    <row r="14" spans="1:21" s="4" customFormat="1" x14ac:dyDescent="0.2">
      <c r="A14" s="128" t="str">
        <f ca="1">OFFSET(PO!J$12,ROW(A14)-ROW($A$12),0)</f>
        <v>Nível 2</v>
      </c>
      <c r="B14" s="130" t="str">
        <f ca="1">IF($A14=0,"",OFFSET(PO!K$12,ROW(B14)-ROW(B$12),0))</f>
        <v>1.1.</v>
      </c>
      <c r="C14" s="127" t="str">
        <f ca="1">IF(OFFSET(PO!N$12,ROW(C14)-ROW(C$12),0)=0,"",OFFSET(PO!N$12,ROW(C14)-ROW(C$12),0))</f>
        <v>INSTALAÇÕES INICIAIS DA OBRA</v>
      </c>
      <c r="D14" s="129" t="str">
        <f ca="1">IF(OFFSET(PO!O$12,ROW(D14)-ROW(D$12),0)=0,"",OFFSET(PO!O$12,ROW(D14)-ROW(D$12),0))</f>
        <v/>
      </c>
      <c r="E14" s="165">
        <f ca="1">IF($A14&lt;&gt;"Serviço",0,ROUND(SUMIF($F$9:$P$9,"&lt;&gt;",$F14:$P14),15-13*PO!$X$3))</f>
        <v>0</v>
      </c>
      <c r="F14" s="399">
        <f ca="1">OFFSET(PO!$P$12,ROW($E14)-ROW(F$12),0)</f>
        <v>0</v>
      </c>
      <c r="G14" s="399"/>
      <c r="H14" s="399"/>
      <c r="I14" s="399"/>
      <c r="J14" s="399"/>
      <c r="K14" s="399"/>
      <c r="L14" s="399"/>
      <c r="M14" s="399"/>
      <c r="N14" s="399"/>
      <c r="O14" s="399"/>
      <c r="U14" s="215"/>
    </row>
    <row r="15" spans="1:21" s="4" customFormat="1" ht="89.25" x14ac:dyDescent="0.2">
      <c r="A15" s="128" t="str">
        <f ca="1">OFFSET(PO!J$12,ROW(A15)-ROW($A$12),0)</f>
        <v>Serviço</v>
      </c>
      <c r="B15" s="130" t="str">
        <f ca="1">IF($A15=0,"",OFFSET(PO!K$12,ROW(B15)-ROW(B$12),0))</f>
        <v>1.1.1.</v>
      </c>
      <c r="C15" s="127" t="str">
        <f ca="1">IF(OFFSET(PO!N$12,ROW(C15)-ROW(C$12),0)=0,"",OFFSET(PO!N$12,ROW(C15)-ROW(C$12),0))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15" s="129" t="str">
        <f ca="1">IF(OFFSET(PO!O$12,ROW(D15)-ROW(D$12),0)=0,"",OFFSET(PO!O$12,ROW(D15)-ROW(D$12),0))</f>
        <v>U</v>
      </c>
      <c r="E15" s="165">
        <f ca="1">IF($A15&lt;&gt;"Serviço",0,ROUND(SUMIF($F$9:$P$9,"&lt;&gt;",$F15:$P15),15-13*PO!$X$3))</f>
        <v>1</v>
      </c>
      <c r="F15" s="399">
        <f ca="1">OFFSET(PO!$P$12,ROW($E15)-ROW(F$12),0)</f>
        <v>1</v>
      </c>
      <c r="G15" s="399"/>
      <c r="H15" s="399"/>
      <c r="I15" s="399"/>
      <c r="J15" s="399"/>
      <c r="K15" s="399"/>
      <c r="L15" s="399"/>
      <c r="M15" s="399"/>
      <c r="N15" s="399"/>
      <c r="O15" s="399"/>
      <c r="U15" s="215"/>
    </row>
    <row r="16" spans="1:21" s="4" customFormat="1" x14ac:dyDescent="0.2">
      <c r="A16" s="128" t="str">
        <f ca="1">OFFSET(PO!J$12,ROW(A16)-ROW($A$12),0)</f>
        <v>Nível 2</v>
      </c>
      <c r="B16" s="130" t="str">
        <f ca="1">IF($A16=0,"",OFFSET(PO!K$12,ROW(B16)-ROW(B$12),0))</f>
        <v>1.2.</v>
      </c>
      <c r="C16" s="127" t="str">
        <f ca="1">IF(OFFSET(PO!N$12,ROW(C16)-ROW(C$12),0)=0,"",OFFSET(PO!N$12,ROW(C16)-ROW(C$12),0))</f>
        <v>OBRAS VIÁRIAS</v>
      </c>
      <c r="D16" s="129" t="str">
        <f ca="1">IF(OFFSET(PO!O$12,ROW(D16)-ROW(D$12),0)=0,"",OFFSET(PO!O$12,ROW(D16)-ROW(D$12),0))</f>
        <v/>
      </c>
      <c r="E16" s="165">
        <f ca="1">IF($A16&lt;&gt;"Serviço",0,ROUND(SUMIF($F$9:$P$9,"&lt;&gt;",$F16:$P16),15-13*PO!$X$3))</f>
        <v>0</v>
      </c>
      <c r="F16" s="399">
        <f ca="1">OFFSET(PO!$P$12,ROW($E16)-ROW(F$12),0)</f>
        <v>0.86</v>
      </c>
      <c r="G16" s="399"/>
      <c r="H16" s="399"/>
      <c r="I16" s="399"/>
      <c r="J16" s="399"/>
      <c r="K16" s="399"/>
      <c r="L16" s="399"/>
      <c r="M16" s="399"/>
      <c r="N16" s="399"/>
      <c r="O16" s="399"/>
      <c r="U16" s="215"/>
    </row>
    <row r="17" spans="1:21" s="4" customFormat="1" ht="25.5" x14ac:dyDescent="0.2">
      <c r="A17" s="128" t="str">
        <f ca="1">OFFSET(PO!J$12,ROW(A17)-ROW($A$12),0)</f>
        <v>Serviço</v>
      </c>
      <c r="B17" s="130" t="str">
        <f ca="1">IF($A17=0,"",OFFSET(PO!K$12,ROW(B17)-ROW(B$12),0))</f>
        <v>1.2.1.</v>
      </c>
      <c r="C17" s="127" t="str">
        <f ca="1">IF(OFFSET(PO!N$12,ROW(C17)-ROW(C$12),0)=0,"",OFFSET(PO!N$12,ROW(C17)-ROW(C$12),0))</f>
        <v>Pintura de ligação (Execução e fornecimento do material betuminoso, exclusive transporte do material betuminoso)</v>
      </c>
      <c r="D17" s="129" t="str">
        <f ca="1">IF(OFFSET(PO!O$12,ROW(D17)-ROW(D$12),0)=0,"",OFFSET(PO!O$12,ROW(D17)-ROW(D$12),0))</f>
        <v>M2</v>
      </c>
      <c r="E17" s="165">
        <f ca="1">IF($A17&lt;&gt;"Serviço",0,ROUND(SUMIF($F$9:$P$9,"&lt;&gt;",$F17:$P17),15-13*PO!$X$3))</f>
        <v>6916.36</v>
      </c>
      <c r="F17" s="399">
        <f ca="1">OFFSET(PO!$P$12,ROW($E17)-ROW(F$12),0)</f>
        <v>6916.36</v>
      </c>
      <c r="G17" s="399"/>
      <c r="H17" s="399"/>
      <c r="I17" s="399"/>
      <c r="J17" s="399"/>
      <c r="K17" s="399"/>
      <c r="L17" s="399"/>
      <c r="M17" s="399"/>
      <c r="N17" s="399"/>
      <c r="O17" s="399"/>
      <c r="U17" s="215"/>
    </row>
    <row r="18" spans="1:21" s="4" customFormat="1" ht="25.5" x14ac:dyDescent="0.2">
      <c r="A18" s="128" t="str">
        <f ca="1">OFFSET(PO!J$12,ROW(A18)-ROW($A$12),0)</f>
        <v>Serviço</v>
      </c>
      <c r="B18" s="130" t="str">
        <f ca="1">IF($A18=0,"",OFFSET(PO!K$12,ROW(B18)-ROW(B$12),0))</f>
        <v>1.2.2.</v>
      </c>
      <c r="C18" s="127" t="str">
        <f ca="1">IF(OFFSET(PO!N$12,ROW(C18)-ROW(C$12),0)=0,"",OFFSET(PO!N$12,ROW(C18)-ROW(C$12),0))</f>
        <v>Transporte de material de qualquer natureza. Distância média de transporte &gt;= 50,10 km</v>
      </c>
      <c r="D18" s="129" t="str">
        <f ca="1">IF(OFFSET(PO!O$12,ROW(D18)-ROW(D$12),0)=0,"",OFFSET(PO!O$12,ROW(D18)-ROW(D$12),0))</f>
        <v>TXKM</v>
      </c>
      <c r="E18" s="165">
        <f ca="1">IF($A18&lt;&gt;"Serviço",0,ROUND(SUMIF($F$9:$P$9,"&lt;&gt;",$F18:$P18),15-13*PO!$X$3))</f>
        <v>1123.22</v>
      </c>
      <c r="F18" s="399">
        <f ca="1">OFFSET(PO!$P$12,ROW($E18)-ROW(F$12),0)</f>
        <v>1123.216864</v>
      </c>
      <c r="G18" s="399"/>
      <c r="H18" s="399"/>
      <c r="I18" s="399"/>
      <c r="J18" s="399"/>
      <c r="K18" s="399"/>
      <c r="L18" s="399"/>
      <c r="M18" s="399"/>
      <c r="N18" s="399"/>
      <c r="O18" s="399"/>
      <c r="U18" s="215"/>
    </row>
    <row r="19" spans="1:21" s="4" customFormat="1" ht="63.75" x14ac:dyDescent="0.2">
      <c r="A19" s="128" t="str">
        <f ca="1">OFFSET(PO!J$12,ROW(A19)-ROW($A$12),0)</f>
        <v>Serviço</v>
      </c>
      <c r="B19" s="130" t="str">
        <f ca="1">IF($A19=0,"",OFFSET(PO!K$12,ROW(B19)-ROW(B$12),0))</f>
        <v>1.2.3.</v>
      </c>
      <c r="C19" s="127" t="str">
        <f ca="1">IF(OFFSET(PO!N$12,ROW(C19)-ROW(C$12),0)=0,"",OFFSET(PO!N$12,ROW(C19)-ROW(C$12),0))</f>
        <v>EXECUÇÃO E APLICAÇÃO DE CONCRETO BETUMINOSO USINADO A QUENTE (CBUQ), MASSA COMERCIAL, INCLUINDO FORNECIMENTO E TRANSPORTE DOS AGREGADOS E MATERIAL BETUMINOSO, EXCLUSIVE TRANSPORTE DA MASSA ASFÁLTICA ATÉ A PISTA</v>
      </c>
      <c r="D19" s="129" t="str">
        <f ca="1">IF(OFFSET(PO!O$12,ROW(D19)-ROW(D$12),0)=0,"",OFFSET(PO!O$12,ROW(D19)-ROW(D$12),0))</f>
        <v>M3</v>
      </c>
      <c r="E19" s="165">
        <f ca="1">IF($A19&lt;&gt;"Serviço",0,ROUND(SUMIF($F$9:$P$9,"&lt;&gt;",$F19:$P19),15-13*PO!$X$3))</f>
        <v>172.91</v>
      </c>
      <c r="F19" s="399">
        <f ca="1">OFFSET(PO!$P$12,ROW($E19)-ROW(F$12),0)</f>
        <v>172.90899999999999</v>
      </c>
      <c r="G19" s="399"/>
      <c r="H19" s="399"/>
      <c r="I19" s="399"/>
      <c r="J19" s="399"/>
      <c r="K19" s="399"/>
      <c r="L19" s="399"/>
      <c r="M19" s="399"/>
      <c r="N19" s="399"/>
      <c r="O19" s="399"/>
      <c r="U19" s="215"/>
    </row>
    <row r="20" spans="1:21" s="4" customFormat="1" ht="25.5" x14ac:dyDescent="0.2">
      <c r="A20" s="128" t="str">
        <f ca="1">OFFSET(PO!J$12,ROW(A20)-ROW($A$12),0)</f>
        <v>Serviço</v>
      </c>
      <c r="B20" s="130" t="str">
        <f ca="1">IF($A20=0,"",OFFSET(PO!K$12,ROW(B20)-ROW(B$12),0))</f>
        <v>1.2.4.</v>
      </c>
      <c r="C20" s="127" t="str">
        <f ca="1">IF(OFFSET(PO!N$12,ROW(C20)-ROW(C$12),0)=0,"",OFFSET(PO!N$12,ROW(C20)-ROW(C$12),0))</f>
        <v>Transporte de Concreto Betuminoso Usinado a Quente. Distância média de transporte de 30,10 a 40,00 km (volume compactado)</v>
      </c>
      <c r="D20" s="129" t="str">
        <f ca="1">IF(OFFSET(PO!O$12,ROW(D20)-ROW(D$12),0)=0,"",OFFSET(PO!O$12,ROW(D20)-ROW(D$12),0))</f>
        <v>M3XKM</v>
      </c>
      <c r="E20" s="165">
        <f ca="1">IF($A20&lt;&gt;"Serviço",0,ROUND(SUMIF($F$9:$P$9,"&lt;&gt;",$F20:$P20),15-13*PO!$X$3))</f>
        <v>5412.05</v>
      </c>
      <c r="F20" s="399">
        <f ca="1">OFFSET(PO!$P$12,ROW($E20)-ROW(F$12),0)</f>
        <v>5412.0517</v>
      </c>
      <c r="G20" s="399"/>
      <c r="H20" s="399"/>
      <c r="I20" s="399"/>
      <c r="J20" s="399"/>
      <c r="K20" s="399"/>
      <c r="L20" s="399"/>
      <c r="M20" s="399"/>
      <c r="N20" s="399"/>
      <c r="O20" s="399"/>
      <c r="U20" s="215"/>
    </row>
    <row r="21" spans="1:21" s="4" customFormat="1" x14ac:dyDescent="0.2">
      <c r="A21" s="128" t="str">
        <f ca="1">OFFSET(PO!J$12,ROW(A21)-ROW($A$12),0)</f>
        <v>Nível 2</v>
      </c>
      <c r="B21" s="130" t="str">
        <f ca="1">IF($A21=0,"",OFFSET(PO!K$12,ROW(B21)-ROW(B$12),0))</f>
        <v>1.3.</v>
      </c>
      <c r="C21" s="127" t="str">
        <f ca="1">IF(OFFSET(PO!N$12,ROW(C21)-ROW(C$12),0)=0,"",OFFSET(PO!N$12,ROW(C21)-ROW(C$12),0))</f>
        <v>SINALIZAÇÃO</v>
      </c>
      <c r="D21" s="129" t="str">
        <f ca="1">IF(OFFSET(PO!O$12,ROW(D21)-ROW(D$12),0)=0,"",OFFSET(PO!O$12,ROW(D21)-ROW(D$12),0))</f>
        <v/>
      </c>
      <c r="E21" s="165">
        <f ca="1">IF($A21&lt;&gt;"Serviço",0,ROUND(SUMIF($F$9:$P$9,"&lt;&gt;",$F21:$P21),15-13*PO!$X$3))</f>
        <v>0</v>
      </c>
      <c r="F21" s="399">
        <f ca="1">OFFSET(PO!$P$12,ROW($E21)-ROW(F$12),0)</f>
        <v>0</v>
      </c>
      <c r="G21" s="399"/>
      <c r="H21" s="399"/>
      <c r="I21" s="399"/>
      <c r="J21" s="399"/>
      <c r="K21" s="399"/>
      <c r="L21" s="399"/>
      <c r="M21" s="399"/>
      <c r="N21" s="399"/>
      <c r="O21" s="399"/>
      <c r="U21" s="215"/>
    </row>
    <row r="22" spans="1:21" s="4" customFormat="1" ht="38.25" x14ac:dyDescent="0.2">
      <c r="A22" s="128" t="str">
        <f ca="1">OFFSET(PO!J$12,ROW(A22)-ROW($A$12),0)</f>
        <v>Serviço</v>
      </c>
      <c r="B22" s="130" t="str">
        <f ca="1">IF($A22=0,"",OFFSET(PO!K$12,ROW(B22)-ROW(B$12),0))</f>
        <v>1.3.1.</v>
      </c>
      <c r="C22" s="127" t="str">
        <f ca="1">IF(OFFSET(PO!N$12,ROW(C22)-ROW(C$12),0)=0,"",OFFSET(PO!N$12,ROW(C22)-ROW(C$12),0))</f>
        <v>Linhas de resina acrilica 0,6mm com Largura &gt; 0,30m (execução, inclusive pré-marcação, fornecimento e transporte de todos os materiais)</v>
      </c>
      <c r="D22" s="129" t="str">
        <f ca="1">IF(OFFSET(PO!O$12,ROW(D22)-ROW(D$12),0)=0,"",OFFSET(PO!O$12,ROW(D22)-ROW(D$12),0))</f>
        <v>M2</v>
      </c>
      <c r="E22" s="165">
        <f ca="1">IF($A22&lt;&gt;"Serviço",0,ROUND(SUMIF($F$9:$P$9,"&lt;&gt;",$F22:$P22),15-13*PO!$X$3))</f>
        <v>68.8</v>
      </c>
      <c r="F22" s="399">
        <f ca="1">OFFSET(PO!$P$12,ROW($E22)-ROW(F$12),0)</f>
        <v>68.8</v>
      </c>
      <c r="G22" s="399"/>
      <c r="H22" s="399"/>
      <c r="I22" s="399"/>
      <c r="J22" s="399"/>
      <c r="K22" s="399"/>
      <c r="L22" s="399"/>
      <c r="M22" s="399"/>
      <c r="N22" s="399"/>
      <c r="O22" s="399"/>
      <c r="U22" s="215"/>
    </row>
    <row r="23" spans="1:21" s="4" customFormat="1" ht="38.25" x14ac:dyDescent="0.2">
      <c r="A23" s="128" t="str">
        <f ca="1">OFFSET(PO!J$12,ROW(A23)-ROW($A$12),0)</f>
        <v>Serviço</v>
      </c>
      <c r="B23" s="130" t="str">
        <f ca="1">IF($A23=0,"",OFFSET(PO!K$12,ROW(B23)-ROW(B$12),0))</f>
        <v>1.3.2.</v>
      </c>
      <c r="C23" s="127" t="str">
        <f ca="1">IF(OFFSET(PO!N$12,ROW(C23)-ROW(C$12),0)=0,"",OFFSET(PO!N$12,ROW(C23)-ROW(C$12),0))</f>
        <v>Setas, simbolos e dizeres de resina acrílica 0,6mm de espessura (Execução, incluindo pré-marcação, fornecimento e transporte de todos os materiais)</v>
      </c>
      <c r="D23" s="129" t="str">
        <f ca="1">IF(OFFSET(PO!O$12,ROW(D23)-ROW(D$12),0)=0,"",OFFSET(PO!O$12,ROW(D23)-ROW(D$12),0))</f>
        <v>M2</v>
      </c>
      <c r="E23" s="165">
        <f ca="1">IF($A23&lt;&gt;"Serviço",0,ROUND(SUMIF($F$9:$P$9,"&lt;&gt;",$F23:$P23),15-13*PO!$X$3))</f>
        <v>27.17</v>
      </c>
      <c r="F23" s="399">
        <f ca="1">OFFSET(PO!$P$12,ROW($E23)-ROW(F$12),0)</f>
        <v>27.17</v>
      </c>
      <c r="G23" s="399"/>
      <c r="H23" s="399"/>
      <c r="I23" s="399"/>
      <c r="J23" s="399"/>
      <c r="K23" s="399"/>
      <c r="L23" s="399"/>
      <c r="M23" s="399"/>
      <c r="N23" s="399"/>
      <c r="O23" s="399"/>
      <c r="U23" s="215"/>
    </row>
    <row r="24" spans="1:21" s="4" customFormat="1" ht="38.25" x14ac:dyDescent="0.2">
      <c r="A24" s="128" t="str">
        <f ca="1">OFFSET(PO!J$12,ROW(A24)-ROW($A$12),0)</f>
        <v>Serviço</v>
      </c>
      <c r="B24" s="130" t="str">
        <f ca="1">IF($A24=0,"",OFFSET(PO!K$12,ROW(B24)-ROW(B$12),0))</f>
        <v>1.3.3.</v>
      </c>
      <c r="C24" s="127" t="str">
        <f ca="1">IF(OFFSET(PO!N$12,ROW(C24)-ROW(C$12),0)=0,"",OFFSET(PO!N$12,ROW(C24)-ROW(C$12),0))</f>
        <v>Linhas de resina acrilica de 0,6mm de espessura e Largura = 0,10m (Execução, incluindo pré-marcação, fornecimento e transporte de todos os materiais)</v>
      </c>
      <c r="D24" s="129" t="str">
        <f ca="1">IF(OFFSET(PO!O$12,ROW(D24)-ROW(D$12),0)=0,"",OFFSET(PO!O$12,ROW(D24)-ROW(D$12),0))</f>
        <v>M</v>
      </c>
      <c r="E24" s="165">
        <f ca="1">IF($A24&lt;&gt;"Serviço",0,ROUND(SUMIF($F$9:$P$9,"&lt;&gt;",$F24:$P24),15-13*PO!$X$3))</f>
        <v>13</v>
      </c>
      <c r="F24" s="399">
        <f ca="1">OFFSET(PO!$P$12,ROW($E24)-ROW(F$12),0)</f>
        <v>13</v>
      </c>
      <c r="G24" s="399"/>
      <c r="H24" s="399"/>
      <c r="I24" s="399"/>
      <c r="J24" s="399"/>
      <c r="K24" s="399"/>
      <c r="L24" s="399"/>
      <c r="M24" s="399"/>
      <c r="N24" s="399"/>
      <c r="O24" s="399"/>
      <c r="U24" s="215"/>
    </row>
    <row r="25" spans="1:21" s="4" customFormat="1" x14ac:dyDescent="0.2">
      <c r="A25" s="128" t="str">
        <f ca="1">OFFSET(PO!J$12,ROW(A25)-ROW($A$12),0)</f>
        <v>Nível 2</v>
      </c>
      <c r="B25" s="130" t="str">
        <f ca="1">IF($A25=0,"",OFFSET(PO!K$12,ROW(B25)-ROW(B$12),0))</f>
        <v>1.4.</v>
      </c>
      <c r="C25" s="127" t="str">
        <f ca="1">IF(OFFSET(PO!N$12,ROW(C25)-ROW(C$12),0)=0,"",OFFSET(PO!N$12,ROW(C25)-ROW(C$12),0))</f>
        <v>DRENAGEM PLUVIAL</v>
      </c>
      <c r="D25" s="129" t="str">
        <f ca="1">IF(OFFSET(PO!O$12,ROW(D25)-ROW(D$12),0)=0,"",OFFSET(PO!O$12,ROW(D25)-ROW(D$12),0))</f>
        <v>M3</v>
      </c>
      <c r="E25" s="165">
        <f ca="1">IF($A25&lt;&gt;"Serviço",0,ROUND(SUMIF($F$9:$P$9,"&lt;&gt;",$F25:$P25),15-13*PO!$X$3))</f>
        <v>0</v>
      </c>
      <c r="F25" s="399">
        <f ca="1">OFFSET(PO!$P$12,ROW($E25)-ROW(F$12),0)</f>
        <v>397.88</v>
      </c>
      <c r="G25" s="399"/>
      <c r="H25" s="399"/>
      <c r="I25" s="399"/>
      <c r="J25" s="399"/>
      <c r="K25" s="399"/>
      <c r="L25" s="399"/>
      <c r="M25" s="399"/>
      <c r="N25" s="399"/>
      <c r="O25" s="399"/>
      <c r="U25" s="215"/>
    </row>
    <row r="26" spans="1:21" s="4" customFormat="1" ht="51" x14ac:dyDescent="0.2">
      <c r="A26" s="128" t="str">
        <f ca="1">OFFSET(PO!J$12,ROW(A26)-ROW($A$12),0)</f>
        <v>Serviço</v>
      </c>
      <c r="B26" s="130" t="str">
        <f ca="1">IF($A26=0,"",OFFSET(PO!K$12,ROW(B26)-ROW(B$12),0))</f>
        <v>1.4.1.</v>
      </c>
      <c r="C26" s="127" t="str">
        <f ca="1">IF(OFFSET(PO!N$12,ROW(C26)-ROW(C$12),0)=0,"",OFFSET(PO!N$12,ROW(C26)-ROW(C$12),0))</f>
        <v>DEMOLIÇÃO MANUAL DE SARJETA OU SARJETÃO DE CONCRETO, INCLUSIVE AFASTAMENTO E EMPILHAMENTO, EXCLUSIVE TRANSPORTE E RETIRADA DO MATERIAL DEMOLIDO</v>
      </c>
      <c r="D26" s="129" t="str">
        <f ca="1">IF(OFFSET(PO!O$12,ROW(D26)-ROW(D$12),0)=0,"",OFFSET(PO!O$12,ROW(D26)-ROW(D$12),0))</f>
        <v>M2</v>
      </c>
      <c r="E26" s="165">
        <f ca="1">IF($A26&lt;&gt;"Serviço",0,ROUND(SUMIF($F$9:$P$9,"&lt;&gt;",$F26:$P26),15-13*PO!$X$3))</f>
        <v>389.47</v>
      </c>
      <c r="F26" s="399">
        <f ca="1">OFFSET(PO!$P$12,ROW($E26)-ROW(F$12),0)</f>
        <v>389.47</v>
      </c>
      <c r="G26" s="399"/>
      <c r="H26" s="399"/>
      <c r="I26" s="399"/>
      <c r="J26" s="399"/>
      <c r="K26" s="399"/>
      <c r="L26" s="399"/>
      <c r="M26" s="399"/>
      <c r="N26" s="399"/>
      <c r="O26" s="399"/>
      <c r="U26" s="215"/>
    </row>
    <row r="27" spans="1:21" s="4" customFormat="1" ht="25.5" x14ac:dyDescent="0.2">
      <c r="A27" s="128" t="str">
        <f ca="1">OFFSET(PO!J$12,ROW(A27)-ROW($A$12),0)</f>
        <v>Serviço</v>
      </c>
      <c r="B27" s="130" t="str">
        <f ca="1">IF($A27=0,"",OFFSET(PO!K$12,ROW(B27)-ROW(B$12),0))</f>
        <v>1.4.2.</v>
      </c>
      <c r="C27" s="127" t="str">
        <f ca="1">IF(OFFSET(PO!N$12,ROW(C27)-ROW(C$12),0)=0,"",OFFSET(PO!N$12,ROW(C27)-ROW(C$12),0))</f>
        <v>TRANSPORTE DE MATERIAL DE QUALQUER NATUREZA EM CAMINHÃO DMT &gt; 5 KM (DENTRO DO PERÍMETRO URBANO)</v>
      </c>
      <c r="D27" s="129" t="str">
        <f ca="1">IF(OFFSET(PO!O$12,ROW(D27)-ROW(D$12),0)=0,"",OFFSET(PO!O$12,ROW(D27)-ROW(D$12),0))</f>
        <v>M3XKM</v>
      </c>
      <c r="E27" s="165">
        <f ca="1">IF($A27&lt;&gt;"Serviço",0,ROUND(SUMIF($F$9:$P$9,"&lt;&gt;",$F27:$P27),15-13*PO!$X$3))</f>
        <v>174.48</v>
      </c>
      <c r="F27" s="399">
        <f ca="1">OFFSET(PO!$P$12,ROW($E27)-ROW(F$12),0)</f>
        <v>174.48</v>
      </c>
      <c r="G27" s="399"/>
      <c r="H27" s="399"/>
      <c r="I27" s="399"/>
      <c r="J27" s="399"/>
      <c r="K27" s="399"/>
      <c r="L27" s="399"/>
      <c r="M27" s="399"/>
      <c r="N27" s="399"/>
      <c r="O27" s="399"/>
      <c r="U27" s="215"/>
    </row>
    <row r="28" spans="1:21" s="4" customFormat="1" ht="63.75" x14ac:dyDescent="0.2">
      <c r="A28" s="128" t="str">
        <f ca="1">OFFSET(PO!J$12,ROW(A28)-ROW($A$12),0)</f>
        <v>Serviço</v>
      </c>
      <c r="B28" s="130" t="str">
        <f ca="1">IF($A28=0,"",OFFSET(PO!K$12,ROW(B28)-ROW(B$12),0))</f>
        <v>1.4.3.</v>
      </c>
      <c r="C28" s="127" t="str">
        <f ca="1">IF(OFFSET(PO!N$12,ROW(C28)-ROW(C$12),0)=0,"",OFFSET(PO!N$12,ROW(C28)-ROW(C$12),0))</f>
        <v>SARJETA DE CONCRETO URBANO (SCU), TIPO 1, COM FCK 15 MPA , LARGURA DE 30CM COM INCLINAÇÃO DE 3%, ESP. 7CM, PADRÃO DER-MG, EXCLUSIVE MEIO-FIO, INCLUSIVE ESCAVAÇÃO, APILAOMENTO E TRANSPORTE COM RETIRADA DO MATERIAL ESCAVADO (EM CAÇAMBA)</v>
      </c>
      <c r="D28" s="129" t="str">
        <f ca="1">IF(OFFSET(PO!O$12,ROW(D28)-ROW(D$12),0)=0,"",OFFSET(PO!O$12,ROW(D28)-ROW(D$12),0))</f>
        <v>M</v>
      </c>
      <c r="E28" s="165">
        <f ca="1">IF($A28&lt;&gt;"Serviço",0,ROUND(SUMIF($F$9:$P$9,"&lt;&gt;",$F28:$P28),15-13*PO!$X$3))</f>
        <v>1298.2</v>
      </c>
      <c r="F28" s="399">
        <f ca="1">OFFSET(PO!$P$12,ROW($E28)-ROW(F$12),0)</f>
        <v>1298.2</v>
      </c>
      <c r="G28" s="399"/>
      <c r="H28" s="399"/>
      <c r="I28" s="399"/>
      <c r="J28" s="399"/>
      <c r="K28" s="399"/>
      <c r="L28" s="399"/>
      <c r="M28" s="399"/>
      <c r="N28" s="399"/>
      <c r="O28" s="399"/>
      <c r="U28" s="215"/>
    </row>
    <row r="29" spans="1:21" s="4" customFormat="1" x14ac:dyDescent="0.2">
      <c r="A29" s="83"/>
      <c r="B29" s="83"/>
      <c r="C29" s="83"/>
      <c r="D29" s="83"/>
      <c r="E29" s="83"/>
      <c r="F29" s="83"/>
      <c r="G29" s="83"/>
      <c r="H29" s="83"/>
      <c r="I29" s="83"/>
      <c r="J29" s="83"/>
      <c r="K29" s="83"/>
      <c r="L29" s="83"/>
      <c r="M29" s="83"/>
      <c r="N29" s="83"/>
      <c r="O29" s="83"/>
      <c r="U29" s="83"/>
    </row>
    <row r="30" spans="1:21" s="4" customFormat="1" x14ac:dyDescent="0.2">
      <c r="B30" s="9"/>
      <c r="C30" s="14"/>
      <c r="D30" s="9"/>
      <c r="E30" s="16"/>
      <c r="F30" s="16"/>
      <c r="G30" s="16"/>
      <c r="H30" s="16"/>
      <c r="I30" s="16"/>
      <c r="J30" s="16"/>
      <c r="K30" s="16"/>
      <c r="L30" s="16"/>
      <c r="M30" s="16"/>
      <c r="N30" s="16"/>
      <c r="O30" s="16"/>
      <c r="U30" s="16"/>
    </row>
    <row r="31" spans="1:21" s="4" customFormat="1" x14ac:dyDescent="0.2">
      <c r="B31" s="371" t="str">
        <f>PO!$K$40</f>
        <v>Presidente Olegário / MG</v>
      </c>
      <c r="C31" s="371"/>
      <c r="D31" s="9"/>
      <c r="E31" s="16"/>
      <c r="F31" s="16"/>
      <c r="G31" s="16"/>
      <c r="H31" s="16"/>
      <c r="I31" s="16"/>
      <c r="J31" s="16"/>
      <c r="K31" s="16"/>
      <c r="L31" s="16"/>
      <c r="M31" s="16"/>
      <c r="N31" s="16"/>
      <c r="O31" s="16"/>
      <c r="U31" s="16"/>
    </row>
    <row r="32" spans="1:21" s="4" customFormat="1" x14ac:dyDescent="0.2">
      <c r="B32" s="113" t="s">
        <v>121</v>
      </c>
      <c r="C32" s="14"/>
      <c r="D32" s="9"/>
      <c r="E32" s="16"/>
      <c r="F32" s="16"/>
      <c r="G32" s="16"/>
      <c r="H32" s="16"/>
      <c r="I32" s="16"/>
      <c r="J32" s="16"/>
      <c r="K32" s="16"/>
      <c r="L32" s="16"/>
      <c r="M32" s="16"/>
      <c r="N32" s="16"/>
      <c r="O32" s="16"/>
      <c r="U32" s="16"/>
    </row>
    <row r="33" spans="2:21" s="4" customFormat="1" x14ac:dyDescent="0.2">
      <c r="B33" s="14"/>
      <c r="C33" s="14"/>
      <c r="D33" s="9"/>
      <c r="E33" s="16"/>
      <c r="F33" s="16"/>
      <c r="G33" s="16"/>
      <c r="H33" s="16"/>
      <c r="I33" s="16"/>
      <c r="J33" s="16"/>
      <c r="K33" s="16"/>
      <c r="L33" s="16"/>
      <c r="M33" s="16"/>
      <c r="N33" s="16"/>
      <c r="O33" s="16"/>
      <c r="U33" s="16"/>
    </row>
    <row r="34" spans="2:21" s="4" customFormat="1" x14ac:dyDescent="0.2">
      <c r="B34" s="372">
        <f ca="1">PO!$K$43</f>
        <v>44984</v>
      </c>
      <c r="C34" s="372"/>
      <c r="D34" s="9"/>
      <c r="E34" s="16"/>
      <c r="F34" s="16"/>
      <c r="G34" s="16"/>
      <c r="H34" s="16"/>
      <c r="I34" s="16"/>
      <c r="J34" s="16"/>
      <c r="K34" s="16"/>
      <c r="L34" s="16"/>
      <c r="M34" s="16"/>
      <c r="N34" s="16"/>
      <c r="O34" s="16"/>
      <c r="U34" s="16"/>
    </row>
    <row r="35" spans="2:21" s="4" customFormat="1" x14ac:dyDescent="0.2">
      <c r="B35" s="142" t="s">
        <v>122</v>
      </c>
      <c r="C35" s="143"/>
      <c r="D35" s="9"/>
      <c r="E35" s="16"/>
      <c r="F35" s="16"/>
      <c r="G35" s="16"/>
      <c r="H35" s="16"/>
      <c r="I35" s="16"/>
      <c r="J35" s="16"/>
      <c r="K35" s="16"/>
      <c r="L35" s="16"/>
      <c r="M35" s="16"/>
      <c r="N35" s="16"/>
      <c r="O35" s="16"/>
      <c r="U35" s="16"/>
    </row>
  </sheetData>
  <sheetProtection algorithmName="SHA-512" hashValue="6OLBW8V2huct/B9rl4pxwGGDCoES8oYYnsEUI5gy6g/os4+xgwzkMhIR3Vu3AXHGx/0Fqa2LH6Q9LVXuRmCEvg==" saltValue="O7z7Fv7TteRE81p+khpEzQ==" spinCount="100000" sheet="1" objects="1" scenarios="1"/>
  <mergeCells count="2">
    <mergeCell ref="B31:C31"/>
    <mergeCell ref="B34:C34"/>
  </mergeCells>
  <phoneticPr fontId="25" type="noConversion"/>
  <conditionalFormatting sqref="D11:E11 D13:E13 D26:E26">
    <cfRule type="expression" dxfId="171" priority="1174" stopIfTrue="1">
      <formula>$A11="Meta"</formula>
    </cfRule>
    <cfRule type="expression" dxfId="170" priority="1175" stopIfTrue="1">
      <formula>$A11&lt;&gt;"Serviço"</formula>
    </cfRule>
  </conditionalFormatting>
  <conditionalFormatting sqref="C11 C13 C26">
    <cfRule type="expression" dxfId="169" priority="1176" stopIfTrue="1">
      <formula>$A11="Meta"</formula>
    </cfRule>
    <cfRule type="expression" dxfId="168" priority="1177" stopIfTrue="1">
      <formula>$A11&lt;&gt;"Serviço"</formula>
    </cfRule>
  </conditionalFormatting>
  <conditionalFormatting sqref="A11:B11 A13:B13 A26:B26">
    <cfRule type="expression" dxfId="167" priority="1178" stopIfTrue="1">
      <formula>$A11="Meta"</formula>
    </cfRule>
    <cfRule type="expression" dxfId="166" priority="1179" stopIfTrue="1">
      <formula>LEFT($A11,5)="Nível"</formula>
    </cfRule>
    <cfRule type="expression" dxfId="165" priority="1180" stopIfTrue="1">
      <formula>$A11=0</formula>
    </cfRule>
  </conditionalFormatting>
  <conditionalFormatting sqref="U11 U13 F13:O13 F22:O22 U22 L24:O24 U24 F26:O28 U26:U28">
    <cfRule type="expression" dxfId="164" priority="1190" stopIfTrue="1">
      <formula>$A11="Meta"</formula>
    </cfRule>
    <cfRule type="expression" dxfId="163" priority="1191" stopIfTrue="1">
      <formula>OR(F$9=0,$A11&lt;&gt;"Serviço")</formula>
    </cfRule>
    <cfRule type="expression" dxfId="162" priority="1192" stopIfTrue="1">
      <formula>TipoOrçamento="Licitado"</formula>
    </cfRule>
  </conditionalFormatting>
  <conditionalFormatting sqref="U9">
    <cfRule type="expression" dxfId="161" priority="612" stopIfTrue="1">
      <formula>AND(T9=0,U9=0)</formula>
    </cfRule>
    <cfRule type="expression" dxfId="160" priority="613" stopIfTrue="1">
      <formula>TipoOrçamento="Licitado"</formula>
    </cfRule>
  </conditionalFormatting>
  <conditionalFormatting sqref="F11:O11">
    <cfRule type="expression" dxfId="159" priority="572" stopIfTrue="1">
      <formula>$A11="Meta"</formula>
    </cfRule>
    <cfRule type="expression" dxfId="158" priority="573" stopIfTrue="1">
      <formula>OR(F$9=0,$A11&lt;&gt;"Serviço")</formula>
    </cfRule>
    <cfRule type="expression" dxfId="157" priority="574" stopIfTrue="1">
      <formula>TipoOrçamento="Licitado"</formula>
    </cfRule>
  </conditionalFormatting>
  <conditionalFormatting sqref="F9:O9">
    <cfRule type="expression" dxfId="156" priority="570" stopIfTrue="1">
      <formula>AND(E9=0,F9=0)</formula>
    </cfRule>
    <cfRule type="expression" dxfId="155" priority="571" stopIfTrue="1">
      <formula>TipoOrçamento="Licitado"</formula>
    </cfRule>
  </conditionalFormatting>
  <conditionalFormatting sqref="D14:E16 D21:E22">
    <cfRule type="expression" dxfId="154" priority="488" stopIfTrue="1">
      <formula>$A14="Meta"</formula>
    </cfRule>
    <cfRule type="expression" dxfId="153" priority="489" stopIfTrue="1">
      <formula>$A14&lt;&gt;"Serviço"</formula>
    </cfRule>
  </conditionalFormatting>
  <conditionalFormatting sqref="C14:C16 C21:C22">
    <cfRule type="expression" dxfId="152" priority="490" stopIfTrue="1">
      <formula>$A14="Meta"</formula>
    </cfRule>
    <cfRule type="expression" dxfId="151" priority="491" stopIfTrue="1">
      <formula>$A14&lt;&gt;"Serviço"</formula>
    </cfRule>
  </conditionalFormatting>
  <conditionalFormatting sqref="A14:B16 A21:B22">
    <cfRule type="expression" dxfId="150" priority="492" stopIfTrue="1">
      <formula>$A14="Meta"</formula>
    </cfRule>
    <cfRule type="expression" dxfId="149" priority="493" stopIfTrue="1">
      <formula>LEFT($A14,5)="Nível"</formula>
    </cfRule>
    <cfRule type="expression" dxfId="148" priority="494" stopIfTrue="1">
      <formula>$A14=0</formula>
    </cfRule>
  </conditionalFormatting>
  <conditionalFormatting sqref="U14:U16 U21">
    <cfRule type="expression" dxfId="147" priority="495" stopIfTrue="1">
      <formula>$A14="Meta"</formula>
    </cfRule>
    <cfRule type="expression" dxfId="146" priority="496" stopIfTrue="1">
      <formula>OR(U$9=0,$A14&lt;&gt;"Serviço")</formula>
    </cfRule>
    <cfRule type="expression" dxfId="145" priority="497" stopIfTrue="1">
      <formula>TipoOrçamento="Licitado"</formula>
    </cfRule>
  </conditionalFormatting>
  <conditionalFormatting sqref="F14:O16 F21:O21">
    <cfRule type="expression" dxfId="144" priority="485" stopIfTrue="1">
      <formula>$A14="Meta"</formula>
    </cfRule>
    <cfRule type="expression" dxfId="143" priority="486" stopIfTrue="1">
      <formula>OR(F$9=0,$A14&lt;&gt;"Serviço")</formula>
    </cfRule>
    <cfRule type="expression" dxfId="142" priority="487" stopIfTrue="1">
      <formula>TipoOrçamento="Licitado"</formula>
    </cfRule>
  </conditionalFormatting>
  <conditionalFormatting sqref="D27:E27">
    <cfRule type="expression" dxfId="141" priority="397" stopIfTrue="1">
      <formula>$A27="Meta"</formula>
    </cfRule>
    <cfRule type="expression" dxfId="140" priority="398" stopIfTrue="1">
      <formula>$A27&lt;&gt;"Serviço"</formula>
    </cfRule>
  </conditionalFormatting>
  <conditionalFormatting sqref="C27">
    <cfRule type="expression" dxfId="139" priority="399" stopIfTrue="1">
      <formula>$A27="Meta"</formula>
    </cfRule>
    <cfRule type="expression" dxfId="138" priority="400" stopIfTrue="1">
      <formula>$A27&lt;&gt;"Serviço"</formula>
    </cfRule>
  </conditionalFormatting>
  <conditionalFormatting sqref="A27:B27">
    <cfRule type="expression" dxfId="137" priority="401" stopIfTrue="1">
      <formula>$A27="Meta"</formula>
    </cfRule>
    <cfRule type="expression" dxfId="136" priority="402" stopIfTrue="1">
      <formula>LEFT($A27,5)="Nível"</formula>
    </cfRule>
    <cfRule type="expression" dxfId="135" priority="403" stopIfTrue="1">
      <formula>$A27=0</formula>
    </cfRule>
  </conditionalFormatting>
  <conditionalFormatting sqref="D28:E28">
    <cfRule type="expression" dxfId="134" priority="150" stopIfTrue="1">
      <formula>$A28="Meta"</formula>
    </cfRule>
    <cfRule type="expression" dxfId="133" priority="151" stopIfTrue="1">
      <formula>$A28&lt;&gt;"Serviço"</formula>
    </cfRule>
  </conditionalFormatting>
  <conditionalFormatting sqref="C28">
    <cfRule type="expression" dxfId="132" priority="152" stopIfTrue="1">
      <formula>$A28="Meta"</formula>
    </cfRule>
    <cfRule type="expression" dxfId="131" priority="153" stopIfTrue="1">
      <formula>$A28&lt;&gt;"Serviço"</formula>
    </cfRule>
  </conditionalFormatting>
  <conditionalFormatting sqref="A28:B28">
    <cfRule type="expression" dxfId="130" priority="154" stopIfTrue="1">
      <formula>$A28="Meta"</formula>
    </cfRule>
    <cfRule type="expression" dxfId="129" priority="155" stopIfTrue="1">
      <formula>LEFT($A28,5)="Nível"</formula>
    </cfRule>
    <cfRule type="expression" dxfId="128" priority="156" stopIfTrue="1">
      <formula>$A28=0</formula>
    </cfRule>
  </conditionalFormatting>
  <conditionalFormatting sqref="D24:E24">
    <cfRule type="expression" dxfId="127" priority="85" stopIfTrue="1">
      <formula>$A24="Meta"</formula>
    </cfRule>
    <cfRule type="expression" dxfId="126" priority="86" stopIfTrue="1">
      <formula>$A24&lt;&gt;"Serviço"</formula>
    </cfRule>
  </conditionalFormatting>
  <conditionalFormatting sqref="C24">
    <cfRule type="expression" dxfId="125" priority="87" stopIfTrue="1">
      <formula>$A24="Meta"</formula>
    </cfRule>
    <cfRule type="expression" dxfId="124" priority="88" stopIfTrue="1">
      <formula>$A24&lt;&gt;"Serviço"</formula>
    </cfRule>
  </conditionalFormatting>
  <conditionalFormatting sqref="A24:B24">
    <cfRule type="expression" dxfId="123" priority="89" stopIfTrue="1">
      <formula>$A24="Meta"</formula>
    </cfRule>
    <cfRule type="expression" dxfId="122" priority="90" stopIfTrue="1">
      <formula>LEFT($A24,5)="Nível"</formula>
    </cfRule>
    <cfRule type="expression" dxfId="121" priority="91" stopIfTrue="1">
      <formula>$A24=0</formula>
    </cfRule>
  </conditionalFormatting>
  <conditionalFormatting sqref="D23:E23">
    <cfRule type="expression" dxfId="120" priority="59" stopIfTrue="1">
      <formula>$A23="Meta"</formula>
    </cfRule>
    <cfRule type="expression" dxfId="119" priority="60" stopIfTrue="1">
      <formula>$A23&lt;&gt;"Serviço"</formula>
    </cfRule>
  </conditionalFormatting>
  <conditionalFormatting sqref="C23">
    <cfRule type="expression" dxfId="118" priority="61" stopIfTrue="1">
      <formula>$A23="Meta"</formula>
    </cfRule>
    <cfRule type="expression" dxfId="117" priority="62" stopIfTrue="1">
      <formula>$A23&lt;&gt;"Serviço"</formula>
    </cfRule>
  </conditionalFormatting>
  <conditionalFormatting sqref="A23:B23">
    <cfRule type="expression" dxfId="116" priority="63" stopIfTrue="1">
      <formula>$A23="Meta"</formula>
    </cfRule>
    <cfRule type="expression" dxfId="115" priority="64" stopIfTrue="1">
      <formula>LEFT($A23,5)="Nível"</formula>
    </cfRule>
    <cfRule type="expression" dxfId="114" priority="65" stopIfTrue="1">
      <formula>$A23=0</formula>
    </cfRule>
  </conditionalFormatting>
  <conditionalFormatting sqref="U23">
    <cfRule type="expression" dxfId="113" priority="66" stopIfTrue="1">
      <formula>$A23="Meta"</formula>
    </cfRule>
    <cfRule type="expression" dxfId="112" priority="67" stopIfTrue="1">
      <formula>OR(U$9=0,$A23&lt;&gt;"Serviço")</formula>
    </cfRule>
    <cfRule type="expression" dxfId="111" priority="68" stopIfTrue="1">
      <formula>TipoOrçamento="Licitado"</formula>
    </cfRule>
  </conditionalFormatting>
  <conditionalFormatting sqref="F23:O23">
    <cfRule type="expression" dxfId="110" priority="56" stopIfTrue="1">
      <formula>$A23="Meta"</formula>
    </cfRule>
    <cfRule type="expression" dxfId="109" priority="57" stopIfTrue="1">
      <formula>OR(F$9=0,$A23&lt;&gt;"Serviço")</formula>
    </cfRule>
    <cfRule type="expression" dxfId="108" priority="58" stopIfTrue="1">
      <formula>TipoOrçamento="Licitado"</formula>
    </cfRule>
  </conditionalFormatting>
  <conditionalFormatting sqref="F24:K24">
    <cfRule type="expression" dxfId="107" priority="53" stopIfTrue="1">
      <formula>$A24="Meta"</formula>
    </cfRule>
    <cfRule type="expression" dxfId="106" priority="54" stopIfTrue="1">
      <formula>OR(F$9=0,$A24&lt;&gt;"Serviço")</formula>
    </cfRule>
    <cfRule type="expression" dxfId="105" priority="55" stopIfTrue="1">
      <formula>TipoOrçamento="Licitado"</formula>
    </cfRule>
  </conditionalFormatting>
  <conditionalFormatting sqref="D25:E25">
    <cfRule type="expression" dxfId="104" priority="30" stopIfTrue="1">
      <formula>$A25="Meta"</formula>
    </cfRule>
    <cfRule type="expression" dxfId="103" priority="31" stopIfTrue="1">
      <formula>$A25&lt;&gt;"Serviço"</formula>
    </cfRule>
  </conditionalFormatting>
  <conditionalFormatting sqref="C25">
    <cfRule type="expression" dxfId="102" priority="32" stopIfTrue="1">
      <formula>$A25="Meta"</formula>
    </cfRule>
    <cfRule type="expression" dxfId="101" priority="33" stopIfTrue="1">
      <formula>$A25&lt;&gt;"Serviço"</formula>
    </cfRule>
  </conditionalFormatting>
  <conditionalFormatting sqref="A25:B25">
    <cfRule type="expression" dxfId="100" priority="34" stopIfTrue="1">
      <formula>$A25="Meta"</formula>
    </cfRule>
    <cfRule type="expression" dxfId="99" priority="35" stopIfTrue="1">
      <formula>LEFT($A25,5)="Nível"</formula>
    </cfRule>
    <cfRule type="expression" dxfId="98" priority="36" stopIfTrue="1">
      <formula>$A25=0</formula>
    </cfRule>
  </conditionalFormatting>
  <conditionalFormatting sqref="U25">
    <cfRule type="expression" dxfId="97" priority="37" stopIfTrue="1">
      <formula>$A25="Meta"</formula>
    </cfRule>
    <cfRule type="expression" dxfId="96" priority="38" stopIfTrue="1">
      <formula>OR(U$9=0,$A25&lt;&gt;"Serviço")</formula>
    </cfRule>
    <cfRule type="expression" dxfId="95" priority="39" stopIfTrue="1">
      <formula>TipoOrçamento="Licitado"</formula>
    </cfRule>
  </conditionalFormatting>
  <conditionalFormatting sqref="F25:O25">
    <cfRule type="expression" dxfId="94" priority="27" stopIfTrue="1">
      <formula>$A25="Meta"</formula>
    </cfRule>
    <cfRule type="expression" dxfId="93" priority="28" stopIfTrue="1">
      <formula>OR(F$9=0,$A25&lt;&gt;"Serviço")</formula>
    </cfRule>
    <cfRule type="expression" dxfId="92" priority="29" stopIfTrue="1">
      <formula>TipoOrçamento="Licitado"</formula>
    </cfRule>
  </conditionalFormatting>
  <conditionalFormatting sqref="D17:E18">
    <cfRule type="expression" dxfId="91" priority="17" stopIfTrue="1">
      <formula>$A17="Meta"</formula>
    </cfRule>
    <cfRule type="expression" dxfId="90" priority="18" stopIfTrue="1">
      <formula>$A17&lt;&gt;"Serviço"</formula>
    </cfRule>
  </conditionalFormatting>
  <conditionalFormatting sqref="C17:C18">
    <cfRule type="expression" dxfId="89" priority="19" stopIfTrue="1">
      <formula>$A17="Meta"</formula>
    </cfRule>
    <cfRule type="expression" dxfId="88" priority="20" stopIfTrue="1">
      <formula>$A17&lt;&gt;"Serviço"</formula>
    </cfRule>
  </conditionalFormatting>
  <conditionalFormatting sqref="A17:B18">
    <cfRule type="expression" dxfId="87" priority="21" stopIfTrue="1">
      <formula>$A17="Meta"</formula>
    </cfRule>
    <cfRule type="expression" dxfId="86" priority="22" stopIfTrue="1">
      <formula>LEFT($A17,5)="Nível"</formula>
    </cfRule>
    <cfRule type="expression" dxfId="85" priority="23" stopIfTrue="1">
      <formula>$A17=0</formula>
    </cfRule>
  </conditionalFormatting>
  <conditionalFormatting sqref="U17:U18">
    <cfRule type="expression" dxfId="84" priority="24" stopIfTrue="1">
      <formula>$A17="Meta"</formula>
    </cfRule>
    <cfRule type="expression" dxfId="83" priority="25" stopIfTrue="1">
      <formula>OR(U$9=0,$A17&lt;&gt;"Serviço")</formula>
    </cfRule>
    <cfRule type="expression" dxfId="82" priority="26" stopIfTrue="1">
      <formula>TipoOrçamento="Licitado"</formula>
    </cfRule>
  </conditionalFormatting>
  <conditionalFormatting sqref="F17:O18">
    <cfRule type="expression" dxfId="81" priority="14" stopIfTrue="1">
      <formula>$A17="Meta"</formula>
    </cfRule>
    <cfRule type="expression" dxfId="80" priority="15" stopIfTrue="1">
      <formula>OR(F$9=0,$A17&lt;&gt;"Serviço")</formula>
    </cfRule>
    <cfRule type="expression" dxfId="79" priority="16" stopIfTrue="1">
      <formula>TipoOrçamento="Licitado"</formula>
    </cfRule>
  </conditionalFormatting>
  <conditionalFormatting sqref="D19:E20">
    <cfRule type="expression" dxfId="78" priority="4" stopIfTrue="1">
      <formula>$A19="Meta"</formula>
    </cfRule>
    <cfRule type="expression" dxfId="77" priority="5" stopIfTrue="1">
      <formula>$A19&lt;&gt;"Serviço"</formula>
    </cfRule>
  </conditionalFormatting>
  <conditionalFormatting sqref="C19:C20">
    <cfRule type="expression" dxfId="76" priority="6" stopIfTrue="1">
      <formula>$A19="Meta"</formula>
    </cfRule>
    <cfRule type="expression" dxfId="75" priority="7" stopIfTrue="1">
      <formula>$A19&lt;&gt;"Serviço"</formula>
    </cfRule>
  </conditionalFormatting>
  <conditionalFormatting sqref="A19:B20">
    <cfRule type="expression" dxfId="74" priority="8" stopIfTrue="1">
      <formula>$A19="Meta"</formula>
    </cfRule>
    <cfRule type="expression" dxfId="73" priority="9" stopIfTrue="1">
      <formula>LEFT($A19,5)="Nível"</formula>
    </cfRule>
    <cfRule type="expression" dxfId="72" priority="10" stopIfTrue="1">
      <formula>$A19=0</formula>
    </cfRule>
  </conditionalFormatting>
  <conditionalFormatting sqref="U19:U20">
    <cfRule type="expression" dxfId="71" priority="11" stopIfTrue="1">
      <formula>$A19="Meta"</formula>
    </cfRule>
    <cfRule type="expression" dxfId="70" priority="12" stopIfTrue="1">
      <formula>OR(U$9=0,$A19&lt;&gt;"Serviço")</formula>
    </cfRule>
    <cfRule type="expression" dxfId="69" priority="13" stopIfTrue="1">
      <formula>TipoOrçamento="Licitado"</formula>
    </cfRule>
  </conditionalFormatting>
  <conditionalFormatting sqref="F19:O20">
    <cfRule type="expression" dxfId="68" priority="1" stopIfTrue="1">
      <formula>$A19="Meta"</formula>
    </cfRule>
    <cfRule type="expression" dxfId="67" priority="2" stopIfTrue="1">
      <formula>OR(F$9=0,$A19&lt;&gt;"Serviço")</formula>
    </cfRule>
    <cfRule type="expression" dxfId="66"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28 U14:U28" xr:uid="{00000000-0002-0000-0300-000000000000}">
      <formula1>0</formula1>
    </dataValidation>
  </dataValidations>
  <printOptions horizontalCentered="1"/>
  <pageMargins left="0.78740157480314965" right="0.78740157480314965" top="0.78740157480314965" bottom="0.39370078740157483" header="0.59055118110236227" footer="0.39370078740157483"/>
  <pageSetup paperSize="9" scale="60" fitToWidth="0" fitToHeight="0" orientation="landscape" r:id="rId1"/>
  <headerFooter alignWithMargins="0">
    <oddHeader>&amp;C&amp;14I</oddHeader>
    <oddFooter>&amp;R&amp;P&amp;L27.476 v008   micro</oddFooter>
  </headerFooter>
  <ignoredErrors>
    <ignoredError sqref="B34 B31"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43"/>
  <sheetViews>
    <sheetView showGridLines="0" topLeftCell="L1" zoomScaleNormal="100" zoomScaleSheetLayoutView="100" workbookViewId="0">
      <selection activeCell="U27" sqref="U27"/>
    </sheetView>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116</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177</v>
      </c>
      <c r="B8" s="1"/>
      <c r="C8" s="1"/>
      <c r="D8" s="1"/>
      <c r="E8" s="1"/>
      <c r="F8" s="1"/>
      <c r="G8" s="1"/>
      <c r="H8" s="1"/>
      <c r="I8" s="1"/>
      <c r="J8" s="1"/>
      <c r="K8" s="1"/>
      <c r="L8" s="389" t="str">
        <f ca="1">IF(MAX($A$14:$A$34)&lt;&gt;MAX(PO!$V$12:$V$29),"ERRO: CRONOGRAMA DESATUALIZADO",IF(OR(COUNTIF($O$16:$X$16,"&gt;1")&gt;0,OFFSET($X$17,0,-1)&lt;&gt;$N$14),"ERRO: CRONOGRAMA NÃO FECHA EM 100%",""))</f>
        <v>ERRO: CRONOGRAMA NÃO FECHA EM 100%</v>
      </c>
      <c r="M8" s="389"/>
      <c r="N8" s="160" t="str">
        <f>IF(TipoOrçamento="REPROGRAMADOAC","Qtde de Medições realizadas","")</f>
        <v/>
      </c>
      <c r="O8" s="178"/>
      <c r="P8" s="179"/>
      <c r="Q8" s="1"/>
      <c r="R8" s="1"/>
      <c r="S8" s="1"/>
      <c r="T8" s="1"/>
      <c r="U8" s="1"/>
      <c r="V8" s="1"/>
      <c r="W8" s="1"/>
      <c r="X8" s="1"/>
      <c r="AC8" s="1"/>
    </row>
    <row r="9" spans="1:29" s="41" customFormat="1" ht="14.1" customHeight="1" x14ac:dyDescent="0.2">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162</v>
      </c>
      <c r="B10" s="180" t="s">
        <v>130</v>
      </c>
      <c r="C10" s="180" t="s">
        <v>3</v>
      </c>
      <c r="D10" s="180" t="s">
        <v>124</v>
      </c>
      <c r="E10" s="180" t="s">
        <v>110</v>
      </c>
      <c r="F10" s="180" t="s">
        <v>111</v>
      </c>
      <c r="G10" s="180" t="s">
        <v>128</v>
      </c>
      <c r="H10" s="180" t="s">
        <v>129</v>
      </c>
      <c r="I10" s="180" t="s">
        <v>125</v>
      </c>
      <c r="J10" s="180" t="s">
        <v>126</v>
      </c>
      <c r="K10" s="180" t="s">
        <v>179</v>
      </c>
      <c r="L10" s="181" t="s">
        <v>148</v>
      </c>
      <c r="M10" s="182" t="s">
        <v>161</v>
      </c>
      <c r="N10" s="183" t="s">
        <v>140</v>
      </c>
      <c r="O10" s="218" t="str">
        <f>IF(TipoOrçamento="REPROGRAMADOAC","Reinício de Obra","Início de Obra")&amp;CHAR(10)&amp;TEXT(DADOS!A48,"dd/mm/aa")</f>
        <v>Início de Obra
01/04/23</v>
      </c>
      <c r="P10" s="219" t="str">
        <f ca="1">IF(AND(TipoOrçamento="REPROGRAMADOAC",$N$9&gt;0,N10="Valores Totais (R$)"),"Parcela "&amp;$N$9&amp;" Executado","Parcela "&amp;P$9&amp;CHAR(10)&amp;TEXT(DATE(YEAR(DADOS!$A$48),MONTH(DADOS!$A$48)+P$9-IF(AND(TipoOrçamento="REPROGRAMADOAC",$N$9&gt;0),$N$9,0),1),"mmm/aa"))</f>
        <v>Parcela 1
mai/23</v>
      </c>
      <c r="Q10" s="210" t="str">
        <f ca="1">IF(AND(TipoOrçamento="REPROGRAMADOAC",$N$9&gt;0,O10="Valores Totais (R$)"),"Parcela "&amp;$N$9&amp;" Executado","Parcela "&amp;Q$9&amp;CHAR(10)&amp;TEXT(DATE(YEAR(DADOS!$A$48),MONTH(DADOS!$A$48)+Q$9-IF(AND(TipoOrçamento="REPROGRAMADOAC",$N$9&gt;0),$N$9,0),1),"mmm/aa"))</f>
        <v>Parcela 2
jun/23</v>
      </c>
      <c r="R10" s="210" t="str">
        <f ca="1">IF(AND(TipoOrçamento="REPROGRAMADOAC",$N$9&gt;0,P10="Valores Totais (R$)"),"Parcela "&amp;$N$9&amp;" Executado","Parcela "&amp;R$9&amp;CHAR(10)&amp;TEXT(DATE(YEAR(DADOS!$A$48),MONTH(DADOS!$A$48)+R$9-IF(AND(TipoOrçamento="REPROGRAMADOAC",$N$9&gt;0),$N$9,0),1),"mmm/aa"))</f>
        <v>Parcela 3
jul/23</v>
      </c>
      <c r="S10" s="210" t="str">
        <f ca="1">IF(AND(TipoOrçamento="REPROGRAMADOAC",$N$9&gt;0,Q10="Valores Totais (R$)"),"Parcela "&amp;$N$9&amp;" Executado","Parcela "&amp;S$9&amp;CHAR(10)&amp;TEXT(DATE(YEAR(DADOS!$A$48),MONTH(DADOS!$A$48)+S$9-IF(AND(TipoOrçamento="REPROGRAMADOAC",$N$9&gt;0),$N$9,0),1),"mmm/aa"))</f>
        <v>Parcela 4
ago/23</v>
      </c>
      <c r="T10" s="210" t="str">
        <f ca="1">IF(AND(TipoOrçamento="REPROGRAMADOAC",$N$9&gt;0,R10="Valores Totais (R$)"),"Parcela "&amp;$N$9&amp;" Executado","Parcela "&amp;T$9&amp;CHAR(10)&amp;TEXT(DATE(YEAR(DADOS!$A$48),MONTH(DADOS!$A$48)+T$9-IF(AND(TipoOrçamento="REPROGRAMADOAC",$N$9&gt;0),$N$9,0),1),"mmm/aa"))</f>
        <v>Parcela 5
set/23</v>
      </c>
      <c r="U10" s="210" t="str">
        <f ca="1">IF(AND(TipoOrçamento="REPROGRAMADOAC",$N$9&gt;0,S10="Valores Totais (R$)"),"Parcela "&amp;$N$9&amp;" Executado","Parcela "&amp;U$9&amp;CHAR(10)&amp;TEXT(DATE(YEAR(DADOS!$A$48),MONTH(DADOS!$A$48)+U$9-IF(AND(TipoOrçamento="REPROGRAMADOAC",$N$9&gt;0),$N$9,0),1),"mmm/aa"))</f>
        <v>Parcela 6
out/23</v>
      </c>
      <c r="V10" s="210" t="str">
        <f ca="1">IF(AND(TipoOrçamento="REPROGRAMADOAC",$N$9&gt;0,T10="Valores Totais (R$)"),"Parcela "&amp;$N$9&amp;" Executado","Parcela "&amp;V$9&amp;CHAR(10)&amp;TEXT(DATE(YEAR(DADOS!$A$48),MONTH(DADOS!$A$48)+V$9-IF(AND(TipoOrçamento="REPROGRAMADOAC",$N$9&gt;0),$N$9,0),1),"mmm/aa"))</f>
        <v>Parcela 7
nov/23</v>
      </c>
      <c r="W10" s="222" t="str">
        <f ca="1">IF(AND(TipoOrçamento="REPROGRAMADOAC",$N$9&gt;0,U10="Valores Totais (R$)"),"Parcela "&amp;$N$9&amp;" Executado","Parcela "&amp;W$9&amp;CHAR(10)&amp;TEXT(DATE(YEAR(DADOS!$A$48),MONTH(DADOS!$A$48)+W$9-IF(AND(TipoOrçamento="REPROGRAMADOAC",$N$9&gt;0),$N$9,0),1),"mmm/aa"))</f>
        <v>Parcela 8
dez/23</v>
      </c>
      <c r="X10" s="195"/>
      <c r="AC10" s="210" t="str">
        <f ca="1">IF(AND(TipoOrçamento="REPROGRAMADOAC",$N$9&gt;0,AA10="Valores Totais (R$)"),"Parcela "&amp;$N$9&amp;" Executado","Parcela "&amp;AC$9&amp;CHAR(10)&amp;TEXT(DATE(YEAR(DADOS!$A$48),MONTH(DADOS!$A$48)+AC$9-IF(AND(TipoOrçamento="REPROGRAMADOAC",$N$9&gt;0),$N$9,0),1),"mmm/aa"))</f>
        <v>Parcela 1
mai/23</v>
      </c>
    </row>
    <row r="11" spans="1:29" customFormat="1" ht="14.25" hidden="1" customHeight="1" x14ac:dyDescent="0.2">
      <c r="A11" s="82"/>
      <c r="B11" s="82"/>
      <c r="C11" s="82"/>
      <c r="D11" s="82"/>
      <c r="E11" s="82"/>
      <c r="F11" s="82"/>
      <c r="G11" s="82"/>
      <c r="H11" s="82"/>
      <c r="I11" s="82"/>
      <c r="J11" s="82"/>
      <c r="K11" s="82"/>
      <c r="L11" s="374" t="e">
        <f ca="1">INDEX(PO!K$12:K$29,MATCH($A13,PO!$V$12:$V$29,0))</f>
        <v>#VALUE!</v>
      </c>
      <c r="M11" s="376" t="e">
        <f ca="1">INDEX(PO!N$12:N$29,MATCH($A13,PO!$V$12:$V$29,0))</f>
        <v>#VALUE!</v>
      </c>
      <c r="N11" s="387" t="e">
        <f ca="1">IF(ROUND(K13,2)=0,K13,ROUND(K13,2))</f>
        <v>#VALUE!</v>
      </c>
      <c r="O11" s="220" t="s">
        <v>144</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75"/>
      <c r="M12" s="377"/>
      <c r="N12" s="388"/>
      <c r="O12" s="170" t="s">
        <v>146</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INDEX(PO!A$12:A$29,MATCH($A13,PO!$V$12:$V$29,0))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MATCH(0,OFFSET($D13,1,$C13,ROW($A$33)-ROW($A13)),0)</f>
        <v>#VALUE!</v>
      </c>
      <c r="J13" s="184" t="e">
        <f ca="1">MATCH(OFFSET($D13,0,$C13)+1,OFFSET($D13,1,$C13,ROW($A$33)-ROW($A13)),0)</f>
        <v>#VALUE!</v>
      </c>
      <c r="K13" s="185" t="e">
        <f ca="1">ROUND(INDEX(PO!T$12:T$29,MATCH($A13,PO!$V$12:$V$29,0)),2)+10^-12</f>
        <v>#VALUE!</v>
      </c>
      <c r="L13" s="375"/>
      <c r="M13" s="377"/>
      <c r="N13" s="388"/>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78" t="s">
        <v>19</v>
      </c>
      <c r="M14" s="379"/>
      <c r="N14" s="384">
        <f ca="1">IF(PO!$T$12=0,10^-12,PO!$T$12)</f>
        <v>9.9999999999999998E-13</v>
      </c>
      <c r="O14" s="167" t="s">
        <v>144</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0"/>
      <c r="M15" s="381"/>
      <c r="N15" s="385"/>
      <c r="O15" s="156" t="s">
        <v>145</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0"/>
      <c r="M16" s="381"/>
      <c r="N16" s="385"/>
      <c r="O16" s="157" t="s">
        <v>146</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
      <c r="A17" s="114">
        <v>0</v>
      </c>
      <c r="B17" s="1"/>
      <c r="C17" s="1"/>
      <c r="D17" s="114">
        <f>ROW(D$33)-ROW(D18)</f>
        <v>15</v>
      </c>
      <c r="E17" s="1"/>
      <c r="F17" s="1"/>
      <c r="G17" s="1"/>
      <c r="H17" s="1"/>
      <c r="I17" s="1"/>
      <c r="J17" s="1"/>
      <c r="K17" s="1"/>
      <c r="L17" s="382"/>
      <c r="M17" s="383"/>
      <c r="N17" s="386"/>
      <c r="O17" s="158" t="s">
        <v>20</v>
      </c>
      <c r="P17" s="202">
        <f ca="1">SUMIF(OFFSET($C17,1,0):$C$33,1,OFFSET(P17,1,0):P$33)</f>
        <v>0</v>
      </c>
      <c r="Q17" s="152">
        <f ca="1">SUMIF(OFFSET($C17,1,0):$C$33,1,OFFSET(Q17,1,0):Q$33)</f>
        <v>0</v>
      </c>
      <c r="R17" s="152">
        <f ca="1">SUMIF(OFFSET($C17,1,0):$C$33,1,OFFSET(R17,1,0):R$33)</f>
        <v>0</v>
      </c>
      <c r="S17" s="152">
        <f ca="1">SUMIF(OFFSET($C17,1,0):$C$33,1,OFFSET(S17,1,0):S$33)</f>
        <v>0</v>
      </c>
      <c r="T17" s="152">
        <f ca="1">SUMIF(OFFSET($C17,1,0):$C$33,1,OFFSET(T17,1,0):T$33)</f>
        <v>0</v>
      </c>
      <c r="U17" s="152">
        <f ca="1">SUMIF(OFFSET($C17,1,0):$C$33,1,OFFSET(U17,1,0):U$33)</f>
        <v>0</v>
      </c>
      <c r="V17" s="152">
        <f ca="1">SUMIF(OFFSET($C17,1,0):$C$33,1,OFFSET(V17,1,0):V$33)</f>
        <v>0</v>
      </c>
      <c r="W17" s="152">
        <f ca="1">SUMIF(OFFSET($C17,1,0):$C$33,1,OFFSET(W17,1,0):W$33)</f>
        <v>0</v>
      </c>
      <c r="X17" s="171"/>
      <c r="AC17" s="152">
        <f ca="1">SUMIF(OFFSET($C17,1,0):$C$33,1,OFFSET(AC17,1,0):AC$33)</f>
        <v>0</v>
      </c>
    </row>
    <row r="18" spans="1:29" customFormat="1" ht="14.25" customHeight="1" x14ac:dyDescent="0.2">
      <c r="A18" s="1"/>
      <c r="B18" s="1"/>
      <c r="C18" s="1"/>
      <c r="D18" s="1"/>
      <c r="E18" s="1"/>
      <c r="F18" s="1"/>
      <c r="G18" s="1"/>
      <c r="H18" s="1"/>
      <c r="I18" s="1"/>
      <c r="J18" s="1"/>
      <c r="K18" s="1"/>
      <c r="L18" s="374" t="str">
        <f ca="1">INDEX(PO!K$12:K$29,MATCH($A20,PO!$V$12:$V$29,0))</f>
        <v>1.</v>
      </c>
      <c r="M18" s="376" t="str">
        <f ca="1">INDEX(PO!N$12:N$29,MATCH($A20,PO!$V$12:$V$29,0))</f>
        <v>Execução das obras de pavimentação / recapeamento asfáltico e drenagem pluvial</v>
      </c>
      <c r="N18" s="387">
        <f ca="1">IF(ROUND(K20,2)=0,K20,ROUND(K20,2))</f>
        <v>9.9999999999999998E-13</v>
      </c>
      <c r="O18" s="203" t="s">
        <v>144</v>
      </c>
      <c r="P18" s="225">
        <f t="shared" ref="P18:W18" ca="1" si="7">IF($B20,0,P19-IF(ISNUMBER(O19),O19,0))</f>
        <v>0</v>
      </c>
      <c r="Q18" s="226">
        <f t="shared" ca="1" si="7"/>
        <v>0</v>
      </c>
      <c r="R18" s="226">
        <f t="shared" ca="1" si="7"/>
        <v>0</v>
      </c>
      <c r="S18" s="226">
        <f t="shared" ca="1" si="7"/>
        <v>0</v>
      </c>
      <c r="T18" s="226">
        <f t="shared" ca="1" si="7"/>
        <v>0</v>
      </c>
      <c r="U18" s="226">
        <f t="shared" ca="1" si="7"/>
        <v>0</v>
      </c>
      <c r="V18" s="226">
        <f t="shared" ca="1" si="7"/>
        <v>0</v>
      </c>
      <c r="W18" s="227">
        <f t="shared" ca="1" si="7"/>
        <v>0</v>
      </c>
      <c r="X18" s="197" t="s">
        <v>107</v>
      </c>
      <c r="AC18" s="221">
        <f ca="1">IF($B20,0,AC19-IF(ISNUMBER(AB19),AB19,0))</f>
        <v>0</v>
      </c>
    </row>
    <row r="19" spans="1:29" customFormat="1" ht="14.25" x14ac:dyDescent="0.2">
      <c r="A19" s="1"/>
      <c r="B19" s="1"/>
      <c r="C19" s="1"/>
      <c r="D19" s="1"/>
      <c r="E19" s="1"/>
      <c r="F19" s="1"/>
      <c r="G19" s="1"/>
      <c r="H19" s="1"/>
      <c r="I19" s="1"/>
      <c r="J19" s="1"/>
      <c r="K19" s="1"/>
      <c r="L19" s="375"/>
      <c r="M19" s="377"/>
      <c r="N19" s="388"/>
      <c r="O19" s="170" t="s">
        <v>146</v>
      </c>
      <c r="P19" s="198">
        <f t="shared" ref="P19:W19" ca="1" si="8">MIN(IF($B20,P18+IF(ISNUMBER(O19),O19,0),P20/$N18),1)</f>
        <v>0</v>
      </c>
      <c r="Q19" s="168">
        <f t="shared" ca="1" si="8"/>
        <v>0</v>
      </c>
      <c r="R19" s="168">
        <f t="shared" ca="1" si="8"/>
        <v>0</v>
      </c>
      <c r="S19" s="168">
        <f t="shared" ca="1" si="8"/>
        <v>0</v>
      </c>
      <c r="T19" s="168">
        <f t="shared" ca="1" si="8"/>
        <v>0</v>
      </c>
      <c r="U19" s="168">
        <f t="shared" ca="1" si="8"/>
        <v>0</v>
      </c>
      <c r="V19" s="168">
        <f t="shared" ca="1" si="8"/>
        <v>0</v>
      </c>
      <c r="W19" s="168">
        <f t="shared" ca="1" si="8"/>
        <v>0</v>
      </c>
      <c r="X19" s="196"/>
      <c r="AC19" s="168">
        <f ca="1">MIN(IF($B20,AC18+IF(ISNUMBER(AB19),AB19,0),AC20/$N18),1)</f>
        <v>0</v>
      </c>
    </row>
    <row r="20" spans="1:29" customFormat="1" ht="14.25" x14ac:dyDescent="0.2">
      <c r="A20" s="114">
        <f ca="1">OFFSET(A20,-CFF.NumLinha,0)+1</f>
        <v>1</v>
      </c>
      <c r="B20" s="1" t="b">
        <f ca="1">$C20&gt;=OFFSET($C20,CFF.NumLinha,0)</f>
        <v>0</v>
      </c>
      <c r="C20" s="184">
        <f ca="1">INDEX(PO!A$12:A$29,MATCH($A20,PO!$V$12:$V$29,0))</f>
        <v>1</v>
      </c>
      <c r="D20" s="184">
        <f ca="1">IF(ISERROR(J20),I20,SMALL(I20:J20,1))-1</f>
        <v>12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MATCH(0,OFFSET($D20,1,$C20,ROW($A$33)-ROW($A20)),0)</f>
        <v>13</v>
      </c>
      <c r="J20" s="184" t="e">
        <f ca="1">MATCH(OFFSET($D20,0,$C20)+1,OFFSET($D20,1,$C20,ROW($A$33)-ROW($A20)),0)</f>
        <v>#N/A</v>
      </c>
      <c r="K20" s="185">
        <f ca="1">ROUND(INDEX(PO!T$12:T$29,MATCH($A20,PO!$V$12:$V$29,0)),2)+10^-12</f>
        <v>9.9999999999999998E-13</v>
      </c>
      <c r="L20" s="375"/>
      <c r="M20" s="377"/>
      <c r="N20" s="388"/>
      <c r="O20" s="204" t="s">
        <v>20</v>
      </c>
      <c r="P20" s="199">
        <f t="shared" ref="P20:W20" ca="1" si="9">IF($B20,ROUND(P19*$N18,2),ROUND(SUMIF(OFFSET($B20,1,0,$D20),TRUE,OFFSET(P20,1,0,$D20))/SUMIF(OFFSET($B20,1,0,$D20),TRUE,OFFSET($K20,1,0,$D20))*$N18,2))</f>
        <v>0</v>
      </c>
      <c r="Q20" s="169">
        <f t="shared" ca="1" si="9"/>
        <v>0</v>
      </c>
      <c r="R20" s="169">
        <f t="shared" ca="1" si="9"/>
        <v>0</v>
      </c>
      <c r="S20" s="169">
        <f t="shared" ca="1" si="9"/>
        <v>0</v>
      </c>
      <c r="T20" s="169">
        <f t="shared" ca="1" si="9"/>
        <v>0</v>
      </c>
      <c r="U20" s="169">
        <f t="shared" ca="1" si="9"/>
        <v>0</v>
      </c>
      <c r="V20" s="169">
        <f t="shared" ca="1" si="9"/>
        <v>0</v>
      </c>
      <c r="W20" s="207">
        <f t="shared" ca="1" si="9"/>
        <v>0</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74" t="str">
        <f ca="1">INDEX(PO!K$12:K$29,MATCH($A23,PO!$V$12:$V$29,0))</f>
        <v>1.1.</v>
      </c>
      <c r="M21" s="376" t="str">
        <f ca="1">INDEX(PO!N$12:N$29,MATCH($A23,PO!$V$12:$V$29,0))</f>
        <v>INSTALAÇÕES INICIAIS DA OBRA</v>
      </c>
      <c r="N21" s="387">
        <f t="shared" ref="N21" ca="1" si="10">IF(ROUND(K23,2)=0,K23,ROUND(K23,2))</f>
        <v>9.9999999999999998E-13</v>
      </c>
      <c r="O21" s="220" t="s">
        <v>144</v>
      </c>
      <c r="P21" s="225">
        <v>1</v>
      </c>
      <c r="Q21" s="226">
        <f t="shared" ref="Q21" ca="1" si="11">IF($B23,0,Q22-IF(ISNUMBER(P22),P22,0))</f>
        <v>0</v>
      </c>
      <c r="R21" s="226">
        <f t="shared" ref="R21" ca="1" si="12">IF($B23,0,R22-IF(ISNUMBER(Q22),Q22,0))</f>
        <v>0</v>
      </c>
      <c r="S21" s="226">
        <f t="shared" ref="S21" ca="1" si="13">IF($B23,0,S22-IF(ISNUMBER(R22),R22,0))</f>
        <v>0</v>
      </c>
      <c r="T21" s="226">
        <f t="shared" ref="T21" ca="1" si="14">IF($B23,0,T22-IF(ISNUMBER(S22),S22,0))</f>
        <v>0</v>
      </c>
      <c r="U21" s="226">
        <f t="shared" ref="U21" ca="1" si="15">IF($B23,0,U22-IF(ISNUMBER(T22),T22,0))</f>
        <v>0</v>
      </c>
      <c r="V21" s="226">
        <f t="shared" ref="V21" ca="1" si="16">IF($B23,0,V22-IF(ISNUMBER(U22),U22,0))</f>
        <v>0</v>
      </c>
      <c r="W21" s="227">
        <f t="shared" ref="W21" ca="1" si="17">IF($B23,0,W22-IF(ISNUMBER(V22),V22,0))</f>
        <v>0</v>
      </c>
      <c r="X21" s="196"/>
      <c r="AC21" s="221">
        <f t="shared" ref="AC21" ca="1" si="18">IF($B23,0,AC22-IF(ISNUMBER(AB22),AB22,0))</f>
        <v>0</v>
      </c>
    </row>
    <row r="22" spans="1:29" customFormat="1" ht="14.25" x14ac:dyDescent="0.2">
      <c r="A22" s="184"/>
      <c r="B22" s="184"/>
      <c r="C22" s="184"/>
      <c r="D22" s="184"/>
      <c r="E22" s="184"/>
      <c r="F22" s="184"/>
      <c r="G22" s="184"/>
      <c r="H22" s="184"/>
      <c r="I22" s="184"/>
      <c r="J22" s="184"/>
      <c r="K22" s="184"/>
      <c r="L22" s="375"/>
      <c r="M22" s="377"/>
      <c r="N22" s="388"/>
      <c r="O22" s="170" t="s">
        <v>146</v>
      </c>
      <c r="P22" s="198">
        <f t="shared" ref="P22" ca="1" si="19">MIN(IF($B23,P21+IF(ISNUMBER(O22),O22,0),P23/$N21),1)</f>
        <v>1</v>
      </c>
      <c r="Q22" s="168">
        <f t="shared" ref="Q22" ca="1" si="20">MIN(IF($B23,Q21+IF(ISNUMBER(P22),P22,0),Q23/$N21),1)</f>
        <v>1</v>
      </c>
      <c r="R22" s="168">
        <f t="shared" ref="R22" ca="1" si="21">MIN(IF($B23,R21+IF(ISNUMBER(Q22),Q22,0),R23/$N21),1)</f>
        <v>1</v>
      </c>
      <c r="S22" s="168">
        <f t="shared" ref="S22" ca="1" si="22">MIN(IF($B23,S21+IF(ISNUMBER(R22),R22,0),S23/$N21),1)</f>
        <v>1</v>
      </c>
      <c r="T22" s="168">
        <f t="shared" ref="T22" ca="1" si="23">MIN(IF($B23,T21+IF(ISNUMBER(S22),S22,0),T23/$N21),1)</f>
        <v>1</v>
      </c>
      <c r="U22" s="168">
        <f t="shared" ref="U22" ca="1" si="24">MIN(IF($B23,U21+IF(ISNUMBER(T22),T22,0),U23/$N21),1)</f>
        <v>1</v>
      </c>
      <c r="V22" s="168">
        <f t="shared" ref="V22" ca="1" si="25">MIN(IF($B23,V21+IF(ISNUMBER(U22),U22,0),V23/$N21),1)</f>
        <v>1</v>
      </c>
      <c r="W22" s="168">
        <f t="shared" ref="W22" ca="1" si="26">MIN(IF($B23,W21+IF(ISNUMBER(V22),V22,0),W23/$N21),1)</f>
        <v>1</v>
      </c>
      <c r="X22" s="196"/>
      <c r="AC22" s="168">
        <f t="shared" ref="AC22" ca="1" si="27">MIN(IF($B23,AC21+IF(ISNUMBER(AB22),AB22,0),AC23/$N21),1)</f>
        <v>0</v>
      </c>
    </row>
    <row r="23" spans="1:29" customFormat="1" ht="14.25" x14ac:dyDescent="0.2">
      <c r="A23" s="184">
        <f ca="1">OFFSET(A23,-CFF.NumLinha,0)+1</f>
        <v>2</v>
      </c>
      <c r="B23" s="184" t="b">
        <f ca="1">$C23&gt;=OFFSET($C23,CFF.NumLinha,0)</f>
        <v>1</v>
      </c>
      <c r="C23" s="184">
        <f ca="1">INDEX(PO!A$12:A$29,MATCH($A23,PO!$V$12:$V$29,0))</f>
        <v>2</v>
      </c>
      <c r="D23" s="184">
        <f t="shared" ref="D23" ca="1" si="28">IF(ISERROR(J23),I23,SMALL(I23:J23,1))-1</f>
        <v>2</v>
      </c>
      <c r="E23" s="184">
        <f ca="1">IF($C23=1,OFFSET(E23,-CFF.NumLinha,0)+1,OFFSET(E23,-CFF.NumLinha,0))</f>
        <v>1</v>
      </c>
      <c r="F23" s="184">
        <f ca="1">IF($C23=1,0,IF($C23=2,OFFSET(F23,-CFF.NumLinha,0)+1,OFFSET(F23,-CFF.NumLinha,0)))</f>
        <v>1</v>
      </c>
      <c r="G23" s="184">
        <f ca="1">IF(AND($C23&lt;=2,$C23&lt;&gt;0),0,IF($C23=3,OFFSET(G23,-CFF.NumLinha,0)+1,OFFSET(G23,-CFF.NumLinha,0)))</f>
        <v>0</v>
      </c>
      <c r="H23" s="184">
        <f ca="1">IF(AND($C23&lt;=3,$C23&lt;&gt;0),0,IF($C23=4,OFFSET(H23,-CFF.NumLinha,0)+1,OFFSET(H23,-CFF.NumLinha,0)))</f>
        <v>0</v>
      </c>
      <c r="I23" s="184">
        <f ca="1">MATCH(0,OFFSET($D23,1,$C23,ROW($A$33)-ROW($A23)),0)</f>
        <v>10</v>
      </c>
      <c r="J23" s="184">
        <f ca="1">MATCH(OFFSET($D23,0,$C23)+1,OFFSET($D23,1,$C23,ROW($A$33)-ROW($A23)),0)</f>
        <v>3</v>
      </c>
      <c r="K23" s="185">
        <f ca="1">ROUND(INDEX(PO!T$12:T$29,MATCH($A23,PO!$V$12:$V$29,0)),2)+10^-12</f>
        <v>9.9999999999999998E-13</v>
      </c>
      <c r="L23" s="375"/>
      <c r="M23" s="377"/>
      <c r="N23" s="388"/>
      <c r="O23" s="204" t="s">
        <v>20</v>
      </c>
      <c r="P23" s="199">
        <f t="shared" ref="P23:W23" ca="1" si="29">IF($B23,ROUND(P22*$N21,2),ROUND(SUMIF(OFFSET($B23,1,0,$D23),TRUE,OFFSET(P23,1,0,$D23))/SUMIF(OFFSET($B23,1,0,$D23),TRUE,OFFSET($K23,1,0,$D23))*$N21,2))</f>
        <v>0</v>
      </c>
      <c r="Q23" s="169">
        <f t="shared" ca="1" si="29"/>
        <v>0</v>
      </c>
      <c r="R23" s="169">
        <f t="shared" ca="1" si="29"/>
        <v>0</v>
      </c>
      <c r="S23" s="169">
        <f t="shared" ca="1" si="29"/>
        <v>0</v>
      </c>
      <c r="T23" s="169">
        <f t="shared" ca="1" si="29"/>
        <v>0</v>
      </c>
      <c r="U23" s="169">
        <f t="shared" ca="1" si="29"/>
        <v>0</v>
      </c>
      <c r="V23" s="169">
        <f t="shared" ca="1" si="29"/>
        <v>0</v>
      </c>
      <c r="W23" s="207">
        <f t="shared" ca="1" si="29"/>
        <v>0</v>
      </c>
      <c r="X23" s="196"/>
      <c r="AC23" s="169">
        <f t="shared" ref="AC23" ca="1" si="30">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74" t="str">
        <f ca="1">INDEX(PO!K$12:K$29,MATCH($A26,PO!$V$12:$V$29,0))</f>
        <v>1.2.</v>
      </c>
      <c r="M24" s="376" t="str">
        <f ca="1">INDEX(PO!N$12:N$29,MATCH($A26,PO!$V$12:$V$29,0))</f>
        <v>OBRAS VIÁRIAS</v>
      </c>
      <c r="N24" s="387">
        <f t="shared" ref="N24" ca="1" si="31">IF(ROUND(K26,2)=0,K26,ROUND(K26,2))</f>
        <v>9.9999999999999998E-13</v>
      </c>
      <c r="O24" s="220" t="s">
        <v>144</v>
      </c>
      <c r="P24" s="225">
        <v>0.5</v>
      </c>
      <c r="Q24" s="226">
        <v>0.5</v>
      </c>
      <c r="R24" s="226">
        <f t="shared" ref="R24" ca="1" si="32">IF($B26,0,R25-IF(ISNUMBER(Q25),Q25,0))</f>
        <v>0</v>
      </c>
      <c r="S24" s="226">
        <f t="shared" ref="S24" ca="1" si="33">IF($B26,0,S25-IF(ISNUMBER(R25),R25,0))</f>
        <v>0</v>
      </c>
      <c r="T24" s="226">
        <f t="shared" ref="T24" ca="1" si="34">IF($B26,0,T25-IF(ISNUMBER(S25),S25,0))</f>
        <v>0</v>
      </c>
      <c r="U24" s="226">
        <f t="shared" ref="U24" ca="1" si="35">IF($B26,0,U25-IF(ISNUMBER(T25),T25,0))</f>
        <v>0</v>
      </c>
      <c r="V24" s="226">
        <f t="shared" ref="V24" ca="1" si="36">IF($B26,0,V25-IF(ISNUMBER(U25),U25,0))</f>
        <v>0</v>
      </c>
      <c r="W24" s="227">
        <f t="shared" ref="W24" ca="1" si="37">IF($B26,0,W25-IF(ISNUMBER(V25),V25,0))</f>
        <v>0</v>
      </c>
      <c r="X24" s="196"/>
      <c r="AC24" s="221">
        <f t="shared" ref="AC24" ca="1" si="38">IF($B26,0,AC25-IF(ISNUMBER(AB25),AB25,0))</f>
        <v>0</v>
      </c>
    </row>
    <row r="25" spans="1:29" customFormat="1" ht="14.25" x14ac:dyDescent="0.2">
      <c r="A25" s="184"/>
      <c r="B25" s="184"/>
      <c r="C25" s="184"/>
      <c r="D25" s="184"/>
      <c r="E25" s="184"/>
      <c r="F25" s="184"/>
      <c r="G25" s="184"/>
      <c r="H25" s="184"/>
      <c r="I25" s="184"/>
      <c r="J25" s="184"/>
      <c r="K25" s="184"/>
      <c r="L25" s="375"/>
      <c r="M25" s="377"/>
      <c r="N25" s="388"/>
      <c r="O25" s="170" t="s">
        <v>146</v>
      </c>
      <c r="P25" s="198">
        <f t="shared" ref="P25" ca="1" si="39">MIN(IF($B26,P24+IF(ISNUMBER(O25),O25,0),P26/$N24),1)</f>
        <v>0.5</v>
      </c>
      <c r="Q25" s="168">
        <f t="shared" ref="Q25" ca="1" si="40">MIN(IF($B26,Q24+IF(ISNUMBER(P25),P25,0),Q26/$N24),1)</f>
        <v>1</v>
      </c>
      <c r="R25" s="168">
        <f t="shared" ref="R25" ca="1" si="41">MIN(IF($B26,R24+IF(ISNUMBER(Q25),Q25,0),R26/$N24),1)</f>
        <v>1</v>
      </c>
      <c r="S25" s="168">
        <f t="shared" ref="S25" ca="1" si="42">MIN(IF($B26,S24+IF(ISNUMBER(R25),R25,0),S26/$N24),1)</f>
        <v>1</v>
      </c>
      <c r="T25" s="168">
        <f t="shared" ref="T25" ca="1" si="43">MIN(IF($B26,T24+IF(ISNUMBER(S25),S25,0),T26/$N24),1)</f>
        <v>1</v>
      </c>
      <c r="U25" s="168">
        <f t="shared" ref="U25" ca="1" si="44">MIN(IF($B26,U24+IF(ISNUMBER(T25),T25,0),U26/$N24),1)</f>
        <v>1</v>
      </c>
      <c r="V25" s="168">
        <f t="shared" ref="V25" ca="1" si="45">MIN(IF($B26,V24+IF(ISNUMBER(U25),U25,0),V26/$N24),1)</f>
        <v>1</v>
      </c>
      <c r="W25" s="168">
        <f t="shared" ref="W25" ca="1" si="46">MIN(IF($B26,W24+IF(ISNUMBER(V25),V25,0),W26/$N24),1)</f>
        <v>1</v>
      </c>
      <c r="X25" s="196"/>
      <c r="AC25" s="168">
        <f t="shared" ref="AC25" ca="1" si="47">MIN(IF($B26,AC24+IF(ISNUMBER(AB25),AB25,0),AC26/$N24),1)</f>
        <v>0</v>
      </c>
    </row>
    <row r="26" spans="1:29" customFormat="1" ht="14.25" x14ac:dyDescent="0.2">
      <c r="A26" s="184">
        <f ca="1">OFFSET(A26,-CFF.NumLinha,0)+1</f>
        <v>3</v>
      </c>
      <c r="B26" s="184" t="b">
        <f ca="1">$C26&gt;=OFFSET($C26,CFF.NumLinha,0)</f>
        <v>1</v>
      </c>
      <c r="C26" s="184">
        <f ca="1">INDEX(PO!A$12:A$29,MATCH($A26,PO!$V$12:$V$29,0))</f>
        <v>2</v>
      </c>
      <c r="D26" s="184">
        <f t="shared" ref="D26" ca="1" si="48">IF(ISERROR(J26),I26,SMALL(I26:J26,1))-1</f>
        <v>2</v>
      </c>
      <c r="E26" s="184">
        <f ca="1">IF($C26=1,OFFSET(E26,-CFF.NumLinha,0)+1,OFFSET(E26,-CFF.NumLinha,0))</f>
        <v>1</v>
      </c>
      <c r="F26" s="184">
        <f ca="1">IF($C26=1,0,IF($C26=2,OFFSET(F26,-CFF.NumLinha,0)+1,OFFSET(F26,-CFF.NumLinha,0)))</f>
        <v>2</v>
      </c>
      <c r="G26" s="184">
        <f ca="1">IF(AND($C26&lt;=2,$C26&lt;&gt;0),0,IF($C26=3,OFFSET(G26,-CFF.NumLinha,0)+1,OFFSET(G26,-CFF.NumLinha,0)))</f>
        <v>0</v>
      </c>
      <c r="H26" s="184">
        <f ca="1">IF(AND($C26&lt;=3,$C26&lt;&gt;0),0,IF($C26=4,OFFSET(H26,-CFF.NumLinha,0)+1,OFFSET(H26,-CFF.NumLinha,0)))</f>
        <v>0</v>
      </c>
      <c r="I26" s="184">
        <f ca="1">MATCH(0,OFFSET($D26,1,$C26,ROW($A$33)-ROW($A26)),0)</f>
        <v>7</v>
      </c>
      <c r="J26" s="184">
        <f ca="1">MATCH(OFFSET($D26,0,$C26)+1,OFFSET($D26,1,$C26,ROW($A$33)-ROW($A26)),0)</f>
        <v>3</v>
      </c>
      <c r="K26" s="185">
        <f ca="1">ROUND(INDEX(PO!T$12:T$29,MATCH($A26,PO!$V$12:$V$29,0)),2)+10^-12</f>
        <v>9.9999999999999998E-13</v>
      </c>
      <c r="L26" s="375"/>
      <c r="M26" s="377"/>
      <c r="N26" s="388"/>
      <c r="O26" s="204" t="s">
        <v>20</v>
      </c>
      <c r="P26" s="199">
        <f t="shared" ref="P26:W26" ca="1" si="49">IF($B26,ROUND(P25*$N24,2),ROUND(SUMIF(OFFSET($B26,1,0,$D26),TRUE,OFFSET(P26,1,0,$D26))/SUMIF(OFFSET($B26,1,0,$D26),TRUE,OFFSET($K26,1,0,$D26))*$N24,2))</f>
        <v>0</v>
      </c>
      <c r="Q26" s="169">
        <f t="shared" ca="1" si="49"/>
        <v>0</v>
      </c>
      <c r="R26" s="169">
        <f t="shared" ca="1" si="49"/>
        <v>0</v>
      </c>
      <c r="S26" s="169">
        <f t="shared" ca="1" si="49"/>
        <v>0</v>
      </c>
      <c r="T26" s="169">
        <f t="shared" ca="1" si="49"/>
        <v>0</v>
      </c>
      <c r="U26" s="169">
        <f t="shared" ca="1" si="49"/>
        <v>0</v>
      </c>
      <c r="V26" s="169">
        <f t="shared" ca="1" si="49"/>
        <v>0</v>
      </c>
      <c r="W26" s="207">
        <f t="shared" ca="1" si="49"/>
        <v>0</v>
      </c>
      <c r="X26" s="196"/>
      <c r="AC26" s="169">
        <f t="shared" ref="AC26" ca="1" si="50">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74" t="str">
        <f ca="1">INDEX(PO!K$12:K$29,MATCH($A29,PO!$V$12:$V$29,0))</f>
        <v>1.3.</v>
      </c>
      <c r="M27" s="376" t="str">
        <f ca="1">INDEX(PO!N$12:N$29,MATCH($A29,PO!$V$12:$V$29,0))</f>
        <v>SINALIZAÇÃO</v>
      </c>
      <c r="N27" s="387">
        <f t="shared" ref="N27" ca="1" si="51">IF(ROUND(K29,2)=0,K29,ROUND(K29,2))</f>
        <v>9.9999999999999998E-13</v>
      </c>
      <c r="O27" s="220" t="s">
        <v>144</v>
      </c>
      <c r="P27" s="225"/>
      <c r="Q27" s="226">
        <v>1</v>
      </c>
      <c r="R27" s="226">
        <v>0.5</v>
      </c>
      <c r="S27" s="226">
        <f t="shared" ref="S27" ca="1" si="52">IF($B29,0,S28-IF(ISNUMBER(R28),R28,0))</f>
        <v>0</v>
      </c>
      <c r="T27" s="226">
        <f t="shared" ref="T27" ca="1" si="53">IF($B29,0,T28-IF(ISNUMBER(S28),S28,0))</f>
        <v>0</v>
      </c>
      <c r="U27" s="226">
        <f t="shared" ref="U27" ca="1" si="54">IF($B29,0,U28-IF(ISNUMBER(T28),T28,0))</f>
        <v>0</v>
      </c>
      <c r="V27" s="226">
        <f t="shared" ref="V27" ca="1" si="55">IF($B29,0,V28-IF(ISNUMBER(U28),U28,0))</f>
        <v>0</v>
      </c>
      <c r="W27" s="227">
        <f t="shared" ref="W27" ca="1" si="56">IF($B29,0,W28-IF(ISNUMBER(V28),V28,0))</f>
        <v>0</v>
      </c>
      <c r="X27" s="196"/>
      <c r="AC27" s="221">
        <f t="shared" ref="AC27" ca="1" si="57">IF($B29,0,AC28-IF(ISNUMBER(AB28),AB28,0))</f>
        <v>0</v>
      </c>
    </row>
    <row r="28" spans="1:29" customFormat="1" ht="14.25" x14ac:dyDescent="0.2">
      <c r="A28" s="184"/>
      <c r="B28" s="184"/>
      <c r="C28" s="184"/>
      <c r="D28" s="184"/>
      <c r="E28" s="184"/>
      <c r="F28" s="184"/>
      <c r="G28" s="184"/>
      <c r="H28" s="184"/>
      <c r="I28" s="184"/>
      <c r="J28" s="184"/>
      <c r="K28" s="184"/>
      <c r="L28" s="375"/>
      <c r="M28" s="377"/>
      <c r="N28" s="388"/>
      <c r="O28" s="170" t="s">
        <v>146</v>
      </c>
      <c r="P28" s="198">
        <f t="shared" ref="P28" ca="1" si="58">MIN(IF($B29,P27+IF(ISNUMBER(O28),O28,0),P29/$N27),1)</f>
        <v>0</v>
      </c>
      <c r="Q28" s="168">
        <f t="shared" ref="Q28" ca="1" si="59">MIN(IF($B29,Q27+IF(ISNUMBER(P28),P28,0),Q29/$N27),1)</f>
        <v>1</v>
      </c>
      <c r="R28" s="168">
        <f t="shared" ref="R28" ca="1" si="60">MIN(IF($B29,R27+IF(ISNUMBER(Q28),Q28,0),R29/$N27),1)</f>
        <v>1</v>
      </c>
      <c r="S28" s="168">
        <f t="shared" ref="S28" ca="1" si="61">MIN(IF($B29,S27+IF(ISNUMBER(R28),R28,0),S29/$N27),1)</f>
        <v>1</v>
      </c>
      <c r="T28" s="168">
        <f t="shared" ref="T28" ca="1" si="62">MIN(IF($B29,T27+IF(ISNUMBER(S28),S28,0),T29/$N27),1)</f>
        <v>1</v>
      </c>
      <c r="U28" s="168">
        <f t="shared" ref="U28" ca="1" si="63">MIN(IF($B29,U27+IF(ISNUMBER(T28),T28,0),U29/$N27),1)</f>
        <v>1</v>
      </c>
      <c r="V28" s="168">
        <f t="shared" ref="V28" ca="1" si="64">MIN(IF($B29,V27+IF(ISNUMBER(U28),U28,0),V29/$N27),1)</f>
        <v>1</v>
      </c>
      <c r="W28" s="168">
        <f t="shared" ref="W28" ca="1" si="65">MIN(IF($B29,W27+IF(ISNUMBER(V28),V28,0),W29/$N27),1)</f>
        <v>1</v>
      </c>
      <c r="X28" s="196"/>
      <c r="AC28" s="168">
        <f t="shared" ref="AC28" ca="1" si="66">MIN(IF($B29,AC27+IF(ISNUMBER(AB28),AB28,0),AC29/$N27),1)</f>
        <v>0</v>
      </c>
    </row>
    <row r="29" spans="1:29" customFormat="1" ht="14.25" x14ac:dyDescent="0.2">
      <c r="A29" s="184">
        <f ca="1">OFFSET(A29,-CFF.NumLinha,0)+1</f>
        <v>4</v>
      </c>
      <c r="B29" s="184" t="b">
        <f ca="1">$C29&gt;=OFFSET($C29,CFF.NumLinha,0)</f>
        <v>1</v>
      </c>
      <c r="C29" s="184">
        <f ca="1">INDEX(PO!A$12:A$29,MATCH($A29,PO!$V$12:$V$29,0))</f>
        <v>2</v>
      </c>
      <c r="D29" s="184">
        <f t="shared" ref="D29" ca="1" si="67">IF(ISERROR(J29),I29,SMALL(I29:J29,1))-1</f>
        <v>2</v>
      </c>
      <c r="E29" s="184">
        <f ca="1">IF($C29=1,OFFSET(E29,-CFF.NumLinha,0)+1,OFFSET(E29,-CFF.NumLinha,0))</f>
        <v>1</v>
      </c>
      <c r="F29" s="184">
        <f ca="1">IF($C29=1,0,IF($C29=2,OFFSET(F29,-CFF.NumLinha,0)+1,OFFSET(F29,-CFF.NumLinha,0)))</f>
        <v>3</v>
      </c>
      <c r="G29" s="184">
        <f ca="1">IF(AND($C29&lt;=2,$C29&lt;&gt;0),0,IF($C29=3,OFFSET(G29,-CFF.NumLinha,0)+1,OFFSET(G29,-CFF.NumLinha,0)))</f>
        <v>0</v>
      </c>
      <c r="H29" s="184">
        <f ca="1">IF(AND($C29&lt;=3,$C29&lt;&gt;0),0,IF($C29=4,OFFSET(H29,-CFF.NumLinha,0)+1,OFFSET(H29,-CFF.NumLinha,0)))</f>
        <v>0</v>
      </c>
      <c r="I29" s="184">
        <f ca="1">MATCH(0,OFFSET($D29,1,$C29,ROW($A$33)-ROW($A29)),0)</f>
        <v>4</v>
      </c>
      <c r="J29" s="184">
        <f ca="1">MATCH(OFFSET($D29,0,$C29)+1,OFFSET($D29,1,$C29,ROW($A$33)-ROW($A29)),0)</f>
        <v>3</v>
      </c>
      <c r="K29" s="185">
        <f ca="1">ROUND(INDEX(PO!T$12:T$29,MATCH($A29,PO!$V$12:$V$29,0)),2)+10^-12</f>
        <v>9.9999999999999998E-13</v>
      </c>
      <c r="L29" s="375"/>
      <c r="M29" s="377"/>
      <c r="N29" s="388"/>
      <c r="O29" s="204" t="s">
        <v>20</v>
      </c>
      <c r="P29" s="199">
        <f t="shared" ref="P29:W29" ca="1" si="68">IF($B29,ROUND(P28*$N27,2),ROUND(SUMIF(OFFSET($B29,1,0,$D29),TRUE,OFFSET(P29,1,0,$D29))/SUMIF(OFFSET($B29,1,0,$D29),TRUE,OFFSET($K29,1,0,$D29))*$N27,2))</f>
        <v>0</v>
      </c>
      <c r="Q29" s="169">
        <f t="shared" ca="1" si="68"/>
        <v>0</v>
      </c>
      <c r="R29" s="169">
        <f t="shared" ca="1" si="68"/>
        <v>0</v>
      </c>
      <c r="S29" s="169">
        <f t="shared" ca="1" si="68"/>
        <v>0</v>
      </c>
      <c r="T29" s="169">
        <f t="shared" ca="1" si="68"/>
        <v>0</v>
      </c>
      <c r="U29" s="169">
        <f t="shared" ca="1" si="68"/>
        <v>0</v>
      </c>
      <c r="V29" s="169">
        <f t="shared" ca="1" si="68"/>
        <v>0</v>
      </c>
      <c r="W29" s="207">
        <f t="shared" ca="1" si="68"/>
        <v>0</v>
      </c>
      <c r="X29" s="196"/>
      <c r="AC29" s="169">
        <f t="shared" ref="AC29" ca="1" si="69">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74" t="str">
        <f ca="1">INDEX(PO!K$12:K$29,MATCH($A32,PO!$V$12:$V$29,0))</f>
        <v>1.4.</v>
      </c>
      <c r="M30" s="376" t="str">
        <f ca="1">INDEX(PO!N$12:N$29,MATCH($A32,PO!$V$12:$V$29,0))</f>
        <v>DRENAGEM PLUVIAL</v>
      </c>
      <c r="N30" s="387">
        <f t="shared" ref="N30" ca="1" si="70">IF(ROUND(K32,2)=0,K32,ROUND(K32,2))</f>
        <v>9.9999999999999998E-13</v>
      </c>
      <c r="O30" s="220" t="s">
        <v>144</v>
      </c>
      <c r="P30" s="225"/>
      <c r="Q30" s="226">
        <v>1</v>
      </c>
      <c r="R30" s="226">
        <v>0.5</v>
      </c>
      <c r="S30" s="226">
        <f t="shared" ref="S30" ca="1" si="71">IF($B32,0,S31-IF(ISNUMBER(R31),R31,0))</f>
        <v>0</v>
      </c>
      <c r="T30" s="226">
        <f t="shared" ref="T30" ca="1" si="72">IF($B32,0,T31-IF(ISNUMBER(S31),S31,0))</f>
        <v>0</v>
      </c>
      <c r="U30" s="226">
        <f t="shared" ref="U30" ca="1" si="73">IF($B32,0,U31-IF(ISNUMBER(T31),T31,0))</f>
        <v>0</v>
      </c>
      <c r="V30" s="226">
        <f t="shared" ref="V30" ca="1" si="74">IF($B32,0,V31-IF(ISNUMBER(U31),U31,0))</f>
        <v>0</v>
      </c>
      <c r="W30" s="227">
        <f t="shared" ref="W30" ca="1" si="75">IF($B32,0,W31-IF(ISNUMBER(V31),V31,0))</f>
        <v>0</v>
      </c>
      <c r="X30" s="196"/>
      <c r="AC30" s="221">
        <f t="shared" ref="AC30" ca="1" si="76">IF($B32,0,AC31-IF(ISNUMBER(AB31),AB31,0))</f>
        <v>0</v>
      </c>
    </row>
    <row r="31" spans="1:29" customFormat="1" ht="14.25" x14ac:dyDescent="0.2">
      <c r="A31" s="184"/>
      <c r="B31" s="184"/>
      <c r="C31" s="184"/>
      <c r="D31" s="184"/>
      <c r="E31" s="184"/>
      <c r="F31" s="184"/>
      <c r="G31" s="184"/>
      <c r="H31" s="184"/>
      <c r="I31" s="184"/>
      <c r="J31" s="184"/>
      <c r="K31" s="184"/>
      <c r="L31" s="375"/>
      <c r="M31" s="377"/>
      <c r="N31" s="388"/>
      <c r="O31" s="170" t="s">
        <v>146</v>
      </c>
      <c r="P31" s="198">
        <f t="shared" ref="P31" ca="1" si="77">MIN(IF($B32,P30+IF(ISNUMBER(O31),O31,0),P32/$N30),1)</f>
        <v>0</v>
      </c>
      <c r="Q31" s="168">
        <f t="shared" ref="Q31" ca="1" si="78">MIN(IF($B32,Q30+IF(ISNUMBER(P31),P31,0),Q32/$N30),1)</f>
        <v>1</v>
      </c>
      <c r="R31" s="168">
        <f t="shared" ref="R31" ca="1" si="79">MIN(IF($B32,R30+IF(ISNUMBER(Q31),Q31,0),R32/$N30),1)</f>
        <v>1</v>
      </c>
      <c r="S31" s="168">
        <f t="shared" ref="S31" ca="1" si="80">MIN(IF($B32,S30+IF(ISNUMBER(R31),R31,0),S32/$N30),1)</f>
        <v>1</v>
      </c>
      <c r="T31" s="168">
        <f t="shared" ref="T31" ca="1" si="81">MIN(IF($B32,T30+IF(ISNUMBER(S31),S31,0),T32/$N30),1)</f>
        <v>1</v>
      </c>
      <c r="U31" s="168">
        <f t="shared" ref="U31" ca="1" si="82">MIN(IF($B32,U30+IF(ISNUMBER(T31),T31,0),U32/$N30),1)</f>
        <v>1</v>
      </c>
      <c r="V31" s="168">
        <f t="shared" ref="V31" ca="1" si="83">MIN(IF($B32,V30+IF(ISNUMBER(U31),U31,0),V32/$N30),1)</f>
        <v>1</v>
      </c>
      <c r="W31" s="168">
        <f t="shared" ref="W31" ca="1" si="84">MIN(IF($B32,W30+IF(ISNUMBER(V31),V31,0),W32/$N30),1)</f>
        <v>1</v>
      </c>
      <c r="X31" s="196"/>
      <c r="AC31" s="168">
        <f t="shared" ref="AC31" ca="1" si="85">MIN(IF($B32,AC30+IF(ISNUMBER(AB31),AB31,0),AC32/$N30),1)</f>
        <v>0</v>
      </c>
    </row>
    <row r="32" spans="1:29" customFormat="1" ht="14.25" x14ac:dyDescent="0.2">
      <c r="A32" s="184">
        <f ca="1">OFFSET(A32,-CFF.NumLinha,0)+1</f>
        <v>5</v>
      </c>
      <c r="B32" s="184" t="b">
        <f ca="1">$C32&gt;=OFFSET($C32,CFF.NumLinha,0)</f>
        <v>1</v>
      </c>
      <c r="C32" s="184">
        <f ca="1">INDEX(PO!A$12:A$29,MATCH($A32,PO!$V$12:$V$29,0))</f>
        <v>2</v>
      </c>
      <c r="D32" s="184">
        <f t="shared" ref="D32" ca="1" si="86">IF(ISERROR(J32),I32,SMALL(I32:J32,1))-1</f>
        <v>0</v>
      </c>
      <c r="E32" s="184">
        <f ca="1">IF($C32=1,OFFSET(E32,-CFF.NumLinha,0)+1,OFFSET(E32,-CFF.NumLinha,0))</f>
        <v>1</v>
      </c>
      <c r="F32" s="184">
        <f ca="1">IF($C32=1,0,IF($C32=2,OFFSET(F32,-CFF.NumLinha,0)+1,OFFSET(F32,-CFF.NumLinha,0)))</f>
        <v>4</v>
      </c>
      <c r="G32" s="184">
        <f ca="1">IF(AND($C32&lt;=2,$C32&lt;&gt;0),0,IF($C32=3,OFFSET(G32,-CFF.NumLinha,0)+1,OFFSET(G32,-CFF.NumLinha,0)))</f>
        <v>0</v>
      </c>
      <c r="H32" s="184">
        <f ca="1">IF(AND($C32&lt;=3,$C32&lt;&gt;0),0,IF($C32=4,OFFSET(H32,-CFF.NumLinha,0)+1,OFFSET(H32,-CFF.NumLinha,0)))</f>
        <v>0</v>
      </c>
      <c r="I32" s="184">
        <f ca="1">MATCH(0,OFFSET($D32,1,$C32,ROW($A$33)-ROW($A32)),0)</f>
        <v>1</v>
      </c>
      <c r="J32" s="184" t="e">
        <f ca="1">MATCH(OFFSET($D32,0,$C32)+1,OFFSET($D32,1,$C32,ROW($A$33)-ROW($A32)),0)</f>
        <v>#N/A</v>
      </c>
      <c r="K32" s="185">
        <f ca="1">ROUND(INDEX(PO!T$12:T$29,MATCH($A32,PO!$V$12:$V$29,0)),2)+10^-12</f>
        <v>9.9999999999999998E-13</v>
      </c>
      <c r="L32" s="375"/>
      <c r="M32" s="377"/>
      <c r="N32" s="388"/>
      <c r="O32" s="204" t="s">
        <v>20</v>
      </c>
      <c r="P32" s="199">
        <f t="shared" ref="P32:W32" ca="1" si="87">IF($B32,ROUND(P31*$N30,2),ROUND(SUMIF(OFFSET($B32,1,0,$D32),TRUE,OFFSET(P32,1,0,$D32))/SUMIF(OFFSET($B32,1,0,$D32),TRUE,OFFSET($K32,1,0,$D32))*$N30,2))</f>
        <v>0</v>
      </c>
      <c r="Q32" s="169">
        <f t="shared" ca="1" si="87"/>
        <v>0</v>
      </c>
      <c r="R32" s="169">
        <f t="shared" ca="1" si="87"/>
        <v>0</v>
      </c>
      <c r="S32" s="169">
        <f t="shared" ca="1" si="87"/>
        <v>0</v>
      </c>
      <c r="T32" s="169">
        <f t="shared" ca="1" si="87"/>
        <v>0</v>
      </c>
      <c r="U32" s="169">
        <f t="shared" ca="1" si="87"/>
        <v>0</v>
      </c>
      <c r="V32" s="169">
        <f t="shared" ca="1" si="87"/>
        <v>0</v>
      </c>
      <c r="W32" s="207">
        <f t="shared" ca="1" si="87"/>
        <v>0</v>
      </c>
      <c r="X32" s="196"/>
      <c r="AC32" s="169">
        <f t="shared" ref="AC32" ca="1" si="88">IF($B32,ROUND(AC31*$N30,2),ROUND(SUMIF(OFFSET($B32,1,0,$D32),TRUE,OFFSET(AC32,1,0,$D32))/SUMIF(OFFSET($B32,1,0,$D32),TRUE,OFFSET($K32,1,0,$D32))*$N30,2))</f>
        <v>0</v>
      </c>
    </row>
    <row r="33" spans="1:29" s="45" customFormat="1" ht="12.75" customHeight="1" x14ac:dyDescent="0.2">
      <c r="A33" s="1"/>
      <c r="B33" s="1"/>
      <c r="C33" s="184">
        <v>-1</v>
      </c>
      <c r="D33" s="184"/>
      <c r="E33" s="184">
        <v>0</v>
      </c>
      <c r="F33" s="184">
        <v>0</v>
      </c>
      <c r="G33" s="184">
        <v>0</v>
      </c>
      <c r="H33" s="184">
        <v>0</v>
      </c>
      <c r="I33" s="1"/>
      <c r="J33" s="1"/>
      <c r="K33" s="1"/>
      <c r="L33" s="154"/>
      <c r="M33" s="154"/>
      <c r="N33" s="155"/>
      <c r="O33" s="154"/>
      <c r="P33" s="154"/>
      <c r="Q33" s="155"/>
      <c r="R33" s="154"/>
      <c r="S33" s="154"/>
      <c r="T33" s="154"/>
      <c r="U33" s="154"/>
      <c r="V33" s="154"/>
      <c r="W33" s="154"/>
      <c r="X33" s="186"/>
      <c r="AC33" s="154"/>
    </row>
    <row r="34" spans="1:29" ht="12" customHeight="1" x14ac:dyDescent="0.2">
      <c r="A34" s="1"/>
      <c r="B34" s="1"/>
      <c r="C34" s="1"/>
      <c r="D34" s="1"/>
      <c r="E34" s="1"/>
      <c r="F34" s="1"/>
      <c r="G34" s="1"/>
      <c r="H34" s="1"/>
      <c r="I34" s="1"/>
      <c r="J34" s="1"/>
      <c r="K34" s="1"/>
      <c r="L34" s="187"/>
      <c r="M34" s="187"/>
      <c r="N34" s="187"/>
      <c r="O34" s="187"/>
      <c r="P34" s="187"/>
      <c r="Q34" s="187"/>
      <c r="R34" s="187"/>
      <c r="S34" s="187"/>
      <c r="T34" s="187"/>
      <c r="U34" s="187"/>
      <c r="V34" s="187"/>
      <c r="W34" s="187"/>
      <c r="X34" s="188"/>
      <c r="AC34" s="187"/>
    </row>
    <row r="35" spans="1:29" x14ac:dyDescent="0.2">
      <c r="A35" s="1"/>
      <c r="B35" s="1"/>
      <c r="C35" s="1"/>
      <c r="D35" s="1"/>
      <c r="E35" s="1"/>
      <c r="F35" s="1"/>
      <c r="G35" s="1"/>
      <c r="H35" s="1"/>
      <c r="I35" s="1"/>
      <c r="J35" s="1"/>
      <c r="K35" s="1"/>
      <c r="L35" s="393">
        <f>DADOS!I32</f>
        <v>0</v>
      </c>
      <c r="M35" s="393"/>
      <c r="N35" s="393"/>
      <c r="O35" s="187"/>
      <c r="P35" s="189"/>
      <c r="Q35" s="390"/>
      <c r="R35" s="390"/>
      <c r="S35" s="390"/>
      <c r="T35" s="187"/>
      <c r="U35" s="187"/>
      <c r="V35" s="187"/>
      <c r="W35" s="187"/>
      <c r="X35" s="188"/>
      <c r="AC35" s="187"/>
    </row>
    <row r="36" spans="1:29" x14ac:dyDescent="0.2">
      <c r="A36" s="1"/>
      <c r="B36" s="1"/>
      <c r="C36" s="1"/>
      <c r="D36" s="1"/>
      <c r="E36" s="1"/>
      <c r="F36" s="1"/>
      <c r="G36" s="1"/>
      <c r="H36" s="1"/>
      <c r="I36" s="1"/>
      <c r="J36" s="1"/>
      <c r="K36" s="1"/>
      <c r="L36" s="190" t="s">
        <v>121</v>
      </c>
      <c r="M36" s="392"/>
      <c r="N36" s="392"/>
      <c r="O36" s="187"/>
      <c r="P36" s="189"/>
      <c r="Q36" s="390"/>
      <c r="R36" s="390"/>
      <c r="S36" s="390"/>
      <c r="T36" s="187"/>
      <c r="U36" s="187"/>
      <c r="V36" s="187"/>
      <c r="W36" s="187"/>
      <c r="X36" s="188"/>
      <c r="AC36" s="187"/>
    </row>
    <row r="37" spans="1:29" x14ac:dyDescent="0.2">
      <c r="A37" s="1"/>
      <c r="B37" s="1"/>
      <c r="C37" s="1"/>
      <c r="D37" s="1"/>
      <c r="E37" s="1"/>
      <c r="F37" s="1"/>
      <c r="G37" s="1"/>
      <c r="H37" s="1"/>
      <c r="I37" s="1"/>
      <c r="J37" s="1"/>
      <c r="K37" s="1"/>
      <c r="L37" s="189"/>
      <c r="M37" s="391"/>
      <c r="N37" s="392"/>
      <c r="O37" s="187"/>
      <c r="P37" s="189"/>
      <c r="Q37" s="390"/>
      <c r="R37" s="390"/>
      <c r="S37" s="390"/>
      <c r="T37" s="187"/>
      <c r="U37" s="187"/>
      <c r="V37" s="187"/>
      <c r="W37" s="187"/>
      <c r="X37" s="188"/>
      <c r="AC37" s="187"/>
    </row>
    <row r="38" spans="1:29" x14ac:dyDescent="0.2">
      <c r="A38" s="1"/>
      <c r="B38" s="1"/>
      <c r="C38" s="1"/>
      <c r="D38" s="1"/>
      <c r="E38" s="1"/>
      <c r="F38" s="1"/>
      <c r="G38" s="1"/>
      <c r="H38" s="1"/>
      <c r="I38" s="1"/>
      <c r="J38" s="1"/>
      <c r="K38" s="1"/>
      <c r="L38" s="373">
        <f ca="1">PO!K43</f>
        <v>44984</v>
      </c>
      <c r="M38" s="373"/>
      <c r="N38" s="373"/>
      <c r="O38" s="187"/>
      <c r="P38" s="187"/>
      <c r="Q38" s="187"/>
      <c r="R38" s="187"/>
      <c r="S38" s="187"/>
      <c r="T38" s="187"/>
      <c r="U38" s="187"/>
      <c r="V38" s="187"/>
      <c r="W38" s="187"/>
      <c r="X38" s="191"/>
      <c r="AC38" s="187"/>
    </row>
    <row r="39" spans="1:29" x14ac:dyDescent="0.2">
      <c r="A39" s="1"/>
      <c r="B39" s="1"/>
      <c r="C39" s="1"/>
      <c r="D39" s="1"/>
      <c r="E39" s="1"/>
      <c r="F39" s="1"/>
      <c r="G39" s="1"/>
      <c r="H39" s="1"/>
      <c r="I39" s="1"/>
      <c r="J39" s="1"/>
      <c r="K39" s="1"/>
      <c r="L39" s="192" t="s">
        <v>122</v>
      </c>
      <c r="M39" s="193"/>
      <c r="N39" s="193"/>
      <c r="O39" s="187"/>
      <c r="P39" s="187"/>
      <c r="Q39" s="187"/>
      <c r="R39" s="187"/>
      <c r="S39" s="187"/>
      <c r="T39" s="187"/>
      <c r="U39" s="187"/>
      <c r="V39" s="187"/>
      <c r="W39" s="187"/>
      <c r="X39" s="191"/>
      <c r="AC39" s="187"/>
    </row>
    <row r="40" spans="1:29" x14ac:dyDescent="0.2">
      <c r="A40" s="1"/>
      <c r="B40" s="1"/>
      <c r="C40" s="1"/>
      <c r="D40" s="1"/>
      <c r="E40" s="1"/>
      <c r="F40" s="1"/>
      <c r="G40" s="1"/>
      <c r="H40" s="1"/>
      <c r="I40" s="1"/>
      <c r="J40" s="1"/>
      <c r="K40" s="1"/>
      <c r="L40" s="187"/>
      <c r="M40" s="187"/>
      <c r="N40" s="187"/>
      <c r="O40" s="187"/>
      <c r="P40" s="187"/>
      <c r="Q40" s="187"/>
      <c r="R40" s="187"/>
      <c r="S40" s="187"/>
      <c r="T40" s="187"/>
      <c r="U40" s="187"/>
      <c r="V40" s="187"/>
      <c r="W40" s="187"/>
      <c r="X40" s="191"/>
      <c r="AC40" s="187"/>
    </row>
    <row r="41" spans="1:29" x14ac:dyDescent="0.2">
      <c r="A41" s="1"/>
      <c r="B41" s="1"/>
      <c r="C41" s="1"/>
      <c r="D41" s="1"/>
      <c r="E41" s="1"/>
      <c r="F41" s="1"/>
      <c r="G41" s="1"/>
      <c r="H41" s="1"/>
      <c r="I41" s="1"/>
      <c r="J41" s="1"/>
      <c r="K41" s="1"/>
      <c r="L41" s="187"/>
      <c r="M41" s="187"/>
      <c r="N41" s="194"/>
      <c r="O41" s="187"/>
      <c r="P41" s="187"/>
      <c r="Q41" s="187"/>
      <c r="R41" s="187"/>
      <c r="S41" s="187"/>
      <c r="T41" s="187"/>
      <c r="U41" s="187"/>
      <c r="V41" s="187"/>
      <c r="W41" s="187"/>
      <c r="X41" s="188"/>
      <c r="AC41" s="187"/>
    </row>
    <row r="42" spans="1:29" x14ac:dyDescent="0.2">
      <c r="A42" s="1"/>
      <c r="B42" s="1"/>
      <c r="C42" s="1"/>
      <c r="D42" s="1"/>
      <c r="E42" s="1"/>
      <c r="F42" s="1"/>
      <c r="G42" s="1"/>
      <c r="H42" s="1"/>
      <c r="I42" s="1"/>
      <c r="J42" s="1"/>
      <c r="K42" s="1"/>
      <c r="L42" s="187"/>
      <c r="M42" s="187"/>
      <c r="N42" s="194"/>
      <c r="O42" s="187"/>
      <c r="P42" s="187"/>
      <c r="Q42" s="187"/>
      <c r="R42" s="187"/>
      <c r="S42" s="187"/>
      <c r="T42" s="187"/>
      <c r="U42" s="187"/>
      <c r="V42" s="187"/>
      <c r="W42" s="187"/>
      <c r="X42" s="188"/>
      <c r="AC42" s="187"/>
    </row>
    <row r="43" spans="1:29" x14ac:dyDescent="0.2">
      <c r="A43" s="1"/>
      <c r="B43" s="1"/>
      <c r="C43" s="1"/>
      <c r="D43" s="1"/>
      <c r="E43" s="1"/>
      <c r="F43" s="1"/>
      <c r="G43" s="1"/>
      <c r="H43" s="1"/>
      <c r="I43" s="1"/>
      <c r="J43" s="1"/>
      <c r="K43" s="1"/>
      <c r="L43" s="82"/>
      <c r="M43" s="82"/>
      <c r="N43" s="7"/>
      <c r="O43" s="82"/>
      <c r="P43" s="82"/>
      <c r="Q43" s="82"/>
      <c r="R43" s="82"/>
      <c r="S43" s="82"/>
      <c r="T43" s="82"/>
      <c r="U43" s="82"/>
      <c r="V43" s="82"/>
      <c r="W43" s="187"/>
      <c r="X43" s="188"/>
      <c r="AC43" s="82"/>
    </row>
  </sheetData>
  <sheetProtection algorithmName="SHA-512" hashValue="gHNgz2o7tmJqxYNXI0S2hJW4yWxK+AxCpzUjuyxd6gkQbTSs4oNmpfNxbfZKWuUcV93QpWMMB80xWxZhTy/1Bg==" saltValue="tK2IG5oDjnv3/xzJqy1QZw==" spinCount="100000" sheet="1" objects="1" scenarios="1"/>
  <mergeCells count="28">
    <mergeCell ref="L8:M8"/>
    <mergeCell ref="N11:N13"/>
    <mergeCell ref="M18:M20"/>
    <mergeCell ref="N18:N20"/>
    <mergeCell ref="Q37:S37"/>
    <mergeCell ref="M37:N37"/>
    <mergeCell ref="Q36:S36"/>
    <mergeCell ref="Q35:S35"/>
    <mergeCell ref="L35:N35"/>
    <mergeCell ref="M36:N36"/>
    <mergeCell ref="M30:M32"/>
    <mergeCell ref="N30:N32"/>
    <mergeCell ref="L38:N38"/>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0:L32"/>
  </mergeCells>
  <phoneticPr fontId="20" type="noConversion"/>
  <conditionalFormatting sqref="L11:N11 L12:M13 L18:N18">
    <cfRule type="expression" dxfId="65" priority="1018" stopIfTrue="1">
      <formula>$C13=1</formula>
    </cfRule>
  </conditionalFormatting>
  <conditionalFormatting sqref="O11 O18">
    <cfRule type="expression" dxfId="64" priority="1090" stopIfTrue="1">
      <formula>$B13=FALSE</formula>
    </cfRule>
    <cfRule type="expression" dxfId="63" priority="1091" stopIfTrue="1">
      <formula>$C13=1</formula>
    </cfRule>
  </conditionalFormatting>
  <conditionalFormatting sqref="P12:W12">
    <cfRule type="expression" dxfId="62" priority="1080" stopIfTrue="1">
      <formula>AND(ISNUMBER(O13),O13&gt;=$N11)</formula>
    </cfRule>
    <cfRule type="cellIs" dxfId="61" priority="1081" stopIfTrue="1" operator="notBetween">
      <formula>0</formula>
      <formula>1</formula>
    </cfRule>
  </conditionalFormatting>
  <conditionalFormatting sqref="P13:W13">
    <cfRule type="expression" dxfId="60" priority="1082" stopIfTrue="1">
      <formula>AND(ISNUMBER(O13),O13&gt;=$N11)</formula>
    </cfRule>
    <cfRule type="cellIs" dxfId="59" priority="1083" stopIfTrue="1" operator="notBetween">
      <formula>0</formula>
      <formula>$N11</formula>
    </cfRule>
  </conditionalFormatting>
  <conditionalFormatting sqref="P14:W14">
    <cfRule type="expression" dxfId="58" priority="1084" stopIfTrue="1">
      <formula>AND(ISNUMBER(O17),O17&gt;=$N14)</formula>
    </cfRule>
  </conditionalFormatting>
  <conditionalFormatting sqref="P15:W15">
    <cfRule type="expression" dxfId="57" priority="1085" stopIfTrue="1">
      <formula>AND(ISNUMBER(O17),O17&gt;=$N14)</formula>
    </cfRule>
  </conditionalFormatting>
  <conditionalFormatting sqref="P16:W16">
    <cfRule type="expression" dxfId="56" priority="1086" stopIfTrue="1">
      <formula>AND(ISNUMBER(O17),O17&gt;=$N14)</formula>
    </cfRule>
    <cfRule type="cellIs" dxfId="55" priority="1087" stopIfTrue="1" operator="notBetween">
      <formula>0</formula>
      <formula>1</formula>
    </cfRule>
  </conditionalFormatting>
  <conditionalFormatting sqref="P17:W17">
    <cfRule type="expression" dxfId="54" priority="1088" stopIfTrue="1">
      <formula>AND(ISNUMBER(O17),O17&gt;=$N14)</formula>
    </cfRule>
    <cfRule type="cellIs" dxfId="53" priority="1089" stopIfTrue="1" operator="notBetween">
      <formula>0</formula>
      <formula>$N14</formula>
    </cfRule>
  </conditionalFormatting>
  <conditionalFormatting sqref="L8">
    <cfRule type="cellIs" dxfId="52" priority="1075" stopIfTrue="1" operator="notEqual">
      <formula>""</formula>
    </cfRule>
  </conditionalFormatting>
  <conditionalFormatting sqref="N9">
    <cfRule type="expression" dxfId="51" priority="1074" stopIfTrue="1">
      <formula>TipoOrçamento&lt;&gt;"REPROGRAMADOAC"</formula>
    </cfRule>
  </conditionalFormatting>
  <conditionalFormatting sqref="L19:M20">
    <cfRule type="expression" dxfId="50" priority="1909" stopIfTrue="1">
      <formula>#REF!=1</formula>
    </cfRule>
  </conditionalFormatting>
  <conditionalFormatting sqref="P11:W11">
    <cfRule type="expression" dxfId="49" priority="229" stopIfTrue="1">
      <formula>AND(ISNUMBER(O13),O13&gt;=$N11)</formula>
    </cfRule>
    <cfRule type="expression" dxfId="48" priority="230" stopIfTrue="1">
      <formula>$B13=FALSE</formula>
    </cfRule>
    <cfRule type="expression" dxfId="47" priority="231" stopIfTrue="1">
      <formula>$C13=1</formula>
    </cfRule>
  </conditionalFormatting>
  <conditionalFormatting sqref="P19:W19">
    <cfRule type="expression" dxfId="46" priority="180" stopIfTrue="1">
      <formula>AND(ISNUMBER(O20),O20&gt;=$N18)</formula>
    </cfRule>
    <cfRule type="cellIs" dxfId="45" priority="181" stopIfTrue="1" operator="notBetween">
      <formula>0</formula>
      <formula>1</formula>
    </cfRule>
  </conditionalFormatting>
  <conditionalFormatting sqref="P20:W20">
    <cfRule type="expression" dxfId="44" priority="182" stopIfTrue="1">
      <formula>AND(ISNUMBER(O20),O20&gt;=$N18)</formula>
    </cfRule>
    <cfRule type="cellIs" dxfId="43" priority="183" stopIfTrue="1" operator="notBetween">
      <formula>0</formula>
      <formula>$N18</formula>
    </cfRule>
  </conditionalFormatting>
  <conditionalFormatting sqref="O10:W10">
    <cfRule type="expression" dxfId="42" priority="152" stopIfTrue="1">
      <formula>1=1</formula>
    </cfRule>
  </conditionalFormatting>
  <conditionalFormatting sqref="P18:W18">
    <cfRule type="expression" dxfId="41" priority="107" stopIfTrue="1">
      <formula>AND(ISNUMBER(O20),O20&gt;=$N18)</formula>
    </cfRule>
    <cfRule type="expression" dxfId="40" priority="108" stopIfTrue="1">
      <formula>$B20=FALSE</formula>
    </cfRule>
    <cfRule type="expression" dxfId="39" priority="109" stopIfTrue="1">
      <formula>$C20=1</formula>
    </cfRule>
  </conditionalFormatting>
  <conditionalFormatting sqref="AC18">
    <cfRule type="expression" dxfId="38" priority="27" stopIfTrue="1">
      <formula>AND(ISNUMBER(AB20),AB20&gt;=$N18)</formula>
    </cfRule>
    <cfRule type="expression" dxfId="37" priority="28" stopIfTrue="1">
      <formula>$B20=FALSE</formula>
    </cfRule>
    <cfRule type="expression" dxfId="36" priority="29" stopIfTrue="1">
      <formula>$C20=1</formula>
    </cfRule>
  </conditionalFormatting>
  <conditionalFormatting sqref="AC12">
    <cfRule type="expression" dxfId="35" priority="42" stopIfTrue="1">
      <formula>AND(ISNUMBER(AB13),AB13&gt;=$N11)</formula>
    </cfRule>
    <cfRule type="cellIs" dxfId="34" priority="43" stopIfTrue="1" operator="notBetween">
      <formula>0</formula>
      <formula>1</formula>
    </cfRule>
  </conditionalFormatting>
  <conditionalFormatting sqref="AC13">
    <cfRule type="expression" dxfId="33" priority="44" stopIfTrue="1">
      <formula>AND(ISNUMBER(AB13),AB13&gt;=$N11)</formula>
    </cfRule>
    <cfRule type="cellIs" dxfId="32" priority="45" stopIfTrue="1" operator="notBetween">
      <formula>0</formula>
      <formula>$N11</formula>
    </cfRule>
  </conditionalFormatting>
  <conditionalFormatting sqref="AC14">
    <cfRule type="expression" dxfId="31" priority="46" stopIfTrue="1">
      <formula>AND(ISNUMBER(AB17),AB17&gt;=$N14)</formula>
    </cfRule>
  </conditionalFormatting>
  <conditionalFormatting sqref="AC15">
    <cfRule type="expression" dxfId="30" priority="47" stopIfTrue="1">
      <formula>AND(ISNUMBER(AB17),AB17&gt;=$N14)</formula>
    </cfRule>
  </conditionalFormatting>
  <conditionalFormatting sqref="AC16">
    <cfRule type="expression" dxfId="29" priority="48" stopIfTrue="1">
      <formula>AND(ISNUMBER(AB17),AB17&gt;=$N14)</formula>
    </cfRule>
    <cfRule type="cellIs" dxfId="28" priority="49" stopIfTrue="1" operator="notBetween">
      <formula>0</formula>
      <formula>1</formula>
    </cfRule>
  </conditionalFormatting>
  <conditionalFormatting sqref="AC17">
    <cfRule type="expression" dxfId="27" priority="50" stopIfTrue="1">
      <formula>AND(ISNUMBER(AB17),AB17&gt;=$N14)</formula>
    </cfRule>
    <cfRule type="cellIs" dxfId="26" priority="51" stopIfTrue="1" operator="notBetween">
      <formula>0</formula>
      <formula>$N14</formula>
    </cfRule>
  </conditionalFormatting>
  <conditionalFormatting sqref="AC11">
    <cfRule type="expression" dxfId="25" priority="39" stopIfTrue="1">
      <formula>AND(ISNUMBER(AB13),AB13&gt;=$N11)</formula>
    </cfRule>
    <cfRule type="expression" dxfId="24" priority="40" stopIfTrue="1">
      <formula>$B13=FALSE</formula>
    </cfRule>
    <cfRule type="expression" dxfId="23" priority="41" stopIfTrue="1">
      <formula>$C13=1</formula>
    </cfRule>
  </conditionalFormatting>
  <conditionalFormatting sqref="AC19">
    <cfRule type="expression" dxfId="22" priority="35" stopIfTrue="1">
      <formula>AND(ISNUMBER(AB20),AB20&gt;=$N18)</formula>
    </cfRule>
    <cfRule type="cellIs" dxfId="21" priority="36" stopIfTrue="1" operator="notBetween">
      <formula>0</formula>
      <formula>1</formula>
    </cfRule>
  </conditionalFormatting>
  <conditionalFormatting sqref="AC20">
    <cfRule type="expression" dxfId="20" priority="37" stopIfTrue="1">
      <formula>AND(ISNUMBER(AB20),AB20&gt;=$N18)</formula>
    </cfRule>
    <cfRule type="cellIs" dxfId="19" priority="38" stopIfTrue="1" operator="notBetween">
      <formula>0</formula>
      <formula>$N18</formula>
    </cfRule>
  </conditionalFormatting>
  <conditionalFormatting sqref="AC10">
    <cfRule type="expression" dxfId="18" priority="30" stopIfTrue="1">
      <formula>1=1</formula>
    </cfRule>
  </conditionalFormatting>
  <conditionalFormatting sqref="L21:N21 L24:N24 L27:N27 L30:N30 L22:M23 L25:M26 L28:M29">
    <cfRule type="expression" dxfId="17" priority="11" stopIfTrue="1">
      <formula>$C23=1</formula>
    </cfRule>
  </conditionalFormatting>
  <conditionalFormatting sqref="O21 O24 O27 O30">
    <cfRule type="expression" dxfId="16" priority="16" stopIfTrue="1">
      <formula>$B23=FALSE</formula>
    </cfRule>
    <cfRule type="expression" dxfId="15" priority="17" stopIfTrue="1">
      <formula>$C23=1</formula>
    </cfRule>
  </conditionalFormatting>
  <conditionalFormatting sqref="P22:W22 P25:W25 P28:W28 P31:W31">
    <cfRule type="expression" dxfId="14" priority="12" stopIfTrue="1">
      <formula>AND(ISNUMBER(O23),O23&gt;=$N21)</formula>
    </cfRule>
    <cfRule type="cellIs" dxfId="13" priority="13" stopIfTrue="1" operator="notBetween">
      <formula>0</formula>
      <formula>1</formula>
    </cfRule>
  </conditionalFormatting>
  <conditionalFormatting sqref="P23:W23 P26:W26 P29:W29 P32:W32">
    <cfRule type="expression" dxfId="12" priority="14" stopIfTrue="1">
      <formula>AND(ISNUMBER(O23),O23&gt;=$N21)</formula>
    </cfRule>
    <cfRule type="cellIs" dxfId="11" priority="15" stopIfTrue="1" operator="notBetween">
      <formula>0</formula>
      <formula>$N21</formula>
    </cfRule>
  </conditionalFormatting>
  <conditionalFormatting sqref="P21:W21 P24:W24 P27:W27 P30:W30">
    <cfRule type="expression" dxfId="10" priority="8" stopIfTrue="1">
      <formula>AND(ISNUMBER(O23),O23&gt;=$N21)</formula>
    </cfRule>
    <cfRule type="expression" dxfId="9" priority="9" stopIfTrue="1">
      <formula>$B23=FALSE</formula>
    </cfRule>
    <cfRule type="expression" dxfId="8" priority="10" stopIfTrue="1">
      <formula>$C23=1</formula>
    </cfRule>
  </conditionalFormatting>
  <conditionalFormatting sqref="AC22 AC25 AC28 AC31">
    <cfRule type="expression" dxfId="7" priority="4" stopIfTrue="1">
      <formula>AND(ISNUMBER(AB23),AB23&gt;=$N21)</formula>
    </cfRule>
    <cfRule type="cellIs" dxfId="6" priority="5" stopIfTrue="1" operator="notBetween">
      <formula>0</formula>
      <formula>1</formula>
    </cfRule>
  </conditionalFormatting>
  <conditionalFormatting sqref="AC23 AC26 AC29 AC32">
    <cfRule type="expression" dxfId="5" priority="6" stopIfTrue="1">
      <formula>AND(ISNUMBER(AB23),AB23&gt;=$N21)</formula>
    </cfRule>
    <cfRule type="cellIs" dxfId="4" priority="7" stopIfTrue="1" operator="notBetween">
      <formula>0</formula>
      <formula>$N21</formula>
    </cfRule>
  </conditionalFormatting>
  <conditionalFormatting sqref="AC21 AC24 AC27 AC30">
    <cfRule type="expression" dxfId="3" priority="1" stopIfTrue="1">
      <formula>AND(ISNUMBER(AB23),AB23&gt;=$N21)</formula>
    </cfRule>
    <cfRule type="expression" dxfId="2" priority="2" stopIfTrue="1">
      <formula>$B23=FALSE</formula>
    </cfRule>
    <cfRule type="expression" dxfId="1" priority="3" stopIfTrue="1">
      <formula>$C23=1</formula>
    </cfRule>
  </conditionalFormatting>
  <conditionalFormatting sqref="L31:M32">
    <cfRule type="expression" dxfId="0" priority="2679"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P30:W30 AC21 AC24 AC27 AC30"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PPO-USER</dc:creator>
  <cp:lastModifiedBy>PPO-USER</cp:lastModifiedBy>
  <cp:lastPrinted>2022-11-16T12:28:26Z</cp:lastPrinted>
  <dcterms:created xsi:type="dcterms:W3CDTF">1998-03-27T18:43:07Z</dcterms:created>
  <dcterms:modified xsi:type="dcterms:W3CDTF">2023-02-27T16:11:23Z</dcterms:modified>
</cp:coreProperties>
</file>